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30" windowWidth="23835" windowHeight="10080" firstSheet="34" activeTab="40"/>
  </bookViews>
  <sheets>
    <sheet name="турбота.1" sheetId="36" r:id="rId1"/>
    <sheet name="ДФТГ" sheetId="43" r:id="rId2"/>
    <sheet name="відшкод.пільг3" sheetId="7" r:id="rId3"/>
    <sheet name="соц.зах. ф.осіб" sheetId="44" r:id="rId4"/>
    <sheet name="інвалідність4" sheetId="5" r:id="rId5"/>
    <sheet name="соц.захист5" sheetId="39" r:id="rId6"/>
    <sheet name="харчування6" sheetId="19" r:id="rId7"/>
    <sheet name="освіта7" sheetId="21" r:id="rId8"/>
    <sheet name="забез.дітей.8" sheetId="37" r:id="rId9"/>
    <sheet name="культура9" sheetId="22" r:id="rId10"/>
    <sheet name="свята10" sheetId="23" r:id="rId11"/>
    <sheet name="спорт11" sheetId="24" r:id="rId12"/>
    <sheet name="молодь12" sheetId="41" r:id="rId13"/>
    <sheet name="ЦПМСД13" sheetId="26" r:id="rId14"/>
    <sheet name="КДЦ14" sheetId="25" r:id="rId15"/>
    <sheet name="мед.забез.пільг15" sheetId="28" r:id="rId16"/>
    <sheet name="підгот.зем.діл.16" sheetId="10" r:id="rId17"/>
    <sheet name="охор.пр.17" sheetId="17" r:id="rId18"/>
    <sheet name="зем.відн.18" sheetId="27" r:id="rId19"/>
    <sheet name="КП ПККП.19" sheetId="18" r:id="rId20"/>
    <sheet name="КП благоустрій20" sheetId="20" r:id="rId21"/>
    <sheet name="КП рекульт.21" sheetId="33" r:id="rId22"/>
    <sheet name="кап.буд.22" sheetId="9" r:id="rId23"/>
    <sheet name="підтри. ЗСУ25" sheetId="29" r:id="rId24"/>
    <sheet name="фін. під КОТЦК" sheetId="48" r:id="rId25"/>
    <sheet name="10--дер пож.рят. заг" sheetId="49" r:id="rId26"/>
    <sheet name="Під. В. Ч. 3077" sheetId="50" r:id="rId27"/>
    <sheet name="Фін. заб. Виш. РДА" sheetId="51" r:id="rId28"/>
    <sheet name="Шкільн. авт." sheetId="52" r:id="rId29"/>
    <sheet name="МАСЦО26" sheetId="6" r:id="rId30"/>
    <sheet name="мат.резерв27" sheetId="13" r:id="rId31"/>
    <sheet name="роб. обсте. обє. пошк" sheetId="47" r:id="rId32"/>
    <sheet name="інформ28" sheetId="11" r:id="rId33"/>
    <sheet name="Енергозбе" sheetId="45" r:id="rId34"/>
    <sheet name="шкл. мистец" sheetId="46" r:id="rId35"/>
    <sheet name="благоустрій23" sheetId="8" r:id="rId36"/>
    <sheet name="КП ПККП фін.під.11" sheetId="14" r:id="rId37"/>
    <sheet name="Заб. обороноздатності" sheetId="31" r:id="rId38"/>
    <sheet name="містобудівна30" sheetId="30" r:id="rId39"/>
    <sheet name="сироти32" sheetId="32" r:id="rId40"/>
    <sheet name="Пол. офі. гром" sheetId="42" r:id="rId41"/>
    <sheet name="Бзе. Пет. грм." sheetId="53" r:id="rId42"/>
    <sheet name="Лист1" sheetId="54" r:id="rId43"/>
    <sheet name="Лист2" sheetId="55" r:id="rId44"/>
  </sheet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24" i="8" l="1"/>
  <c r="G25" i="8"/>
  <c r="G26" i="8"/>
  <c r="G27" i="8"/>
  <c r="G28" i="8"/>
  <c r="G29" i="8"/>
  <c r="G30" i="8"/>
  <c r="G23" i="8"/>
  <c r="E32" i="8"/>
  <c r="F45" i="8" l="1"/>
  <c r="E45" i="8"/>
  <c r="G45" i="8" s="1"/>
  <c r="G42" i="8"/>
  <c r="G43" i="8"/>
  <c r="G41" i="8"/>
  <c r="F46" i="8" l="1"/>
  <c r="E46" i="8"/>
  <c r="G40" i="8"/>
  <c r="G44" i="8" s="1"/>
  <c r="G34" i="8"/>
  <c r="F35" i="8"/>
  <c r="E35" i="8"/>
  <c r="D21" i="53"/>
  <c r="C21" i="53"/>
  <c r="E20" i="53"/>
  <c r="D16" i="53"/>
  <c r="C16" i="53"/>
  <c r="E14" i="53"/>
  <c r="E13" i="53"/>
  <c r="E26" i="42"/>
  <c r="E15" i="42"/>
  <c r="E16" i="42"/>
  <c r="E18" i="42"/>
  <c r="E14" i="42"/>
  <c r="C26" i="42"/>
  <c r="C11" i="42"/>
  <c r="D9" i="42" s="1"/>
  <c r="C10" i="42"/>
  <c r="G35" i="8" l="1"/>
  <c r="F47" i="8"/>
  <c r="G46" i="8"/>
  <c r="D17" i="53"/>
  <c r="C22" i="53"/>
  <c r="E16" i="53"/>
  <c r="D22" i="53"/>
  <c r="C9" i="53"/>
  <c r="C10" i="53"/>
  <c r="E21" i="53"/>
  <c r="C20" i="42"/>
  <c r="D20" i="42"/>
  <c r="D23" i="53" l="1"/>
  <c r="E22" i="53"/>
  <c r="D8" i="53"/>
  <c r="D21" i="42"/>
  <c r="D25" i="42"/>
  <c r="E25" i="42" s="1"/>
  <c r="C25" i="42"/>
  <c r="E24" i="42"/>
  <c r="D26" i="42" l="1"/>
  <c r="E20" i="42"/>
  <c r="E13" i="52"/>
  <c r="D13" i="52"/>
  <c r="F13" i="52" s="1"/>
  <c r="D7" i="50"/>
  <c r="D7" i="49"/>
  <c r="D11" i="51"/>
  <c r="D7" i="51" s="1"/>
  <c r="C11" i="51"/>
  <c r="C35" i="50"/>
  <c r="D35" i="50"/>
  <c r="D12" i="49"/>
  <c r="C12" i="49"/>
  <c r="E11" i="48"/>
  <c r="D11" i="48"/>
  <c r="C11" i="48"/>
  <c r="C9" i="29"/>
  <c r="E16" i="29"/>
  <c r="E19" i="29" s="1"/>
  <c r="D19" i="29"/>
  <c r="C19" i="29"/>
  <c r="C12" i="29"/>
  <c r="D27" i="42" l="1"/>
  <c r="D14" i="52"/>
  <c r="D12" i="51"/>
  <c r="E11" i="51"/>
  <c r="D36" i="50"/>
  <c r="E35" i="50"/>
  <c r="D13" i="49"/>
  <c r="E12" i="49"/>
  <c r="D12" i="48"/>
  <c r="C27" i="46"/>
  <c r="D14" i="47" l="1"/>
  <c r="E14" i="47" s="1"/>
  <c r="E13" i="47"/>
  <c r="E12" i="47"/>
  <c r="D18" i="47"/>
  <c r="D19" i="47" s="1"/>
  <c r="C18" i="47"/>
  <c r="C19" i="47" s="1"/>
  <c r="C20" i="47" s="1"/>
  <c r="E17" i="47"/>
  <c r="E18" i="47" s="1"/>
  <c r="E19" i="47" s="1"/>
  <c r="C8" i="47"/>
  <c r="C14" i="47"/>
  <c r="D17" i="31"/>
  <c r="E13" i="30"/>
  <c r="E12" i="30"/>
  <c r="D12" i="30"/>
  <c r="D31" i="24"/>
  <c r="D36" i="24"/>
  <c r="E35" i="24"/>
  <c r="E26" i="46"/>
  <c r="D25" i="46"/>
  <c r="C25" i="46"/>
  <c r="D17" i="46"/>
  <c r="C17" i="46"/>
  <c r="E22" i="45"/>
  <c r="D22" i="45"/>
  <c r="C22" i="45"/>
  <c r="D20" i="45"/>
  <c r="E20" i="45"/>
  <c r="C20" i="45"/>
  <c r="E19" i="45"/>
  <c r="D18" i="45"/>
  <c r="C18" i="45"/>
  <c r="E15" i="45"/>
  <c r="E16" i="45"/>
  <c r="E17" i="45"/>
  <c r="E14" i="45"/>
  <c r="E18" i="45" s="1"/>
  <c r="D13" i="45"/>
  <c r="C13" i="45"/>
  <c r="E10" i="45"/>
  <c r="E11" i="45"/>
  <c r="E12" i="45"/>
  <c r="E9" i="45"/>
  <c r="C12" i="11"/>
  <c r="E17" i="46" l="1"/>
  <c r="D27" i="46"/>
  <c r="C8" i="46" s="1"/>
  <c r="D7" i="46" s="1"/>
  <c r="E25" i="46"/>
  <c r="E27" i="46" s="1"/>
  <c r="D7" i="47"/>
  <c r="D20" i="47"/>
  <c r="C9" i="47"/>
  <c r="D15" i="47"/>
  <c r="E13" i="45"/>
  <c r="D23" i="45"/>
  <c r="D7" i="45"/>
  <c r="D8" i="9"/>
  <c r="D77" i="9"/>
  <c r="E77" i="9"/>
  <c r="C77" i="9"/>
  <c r="E68" i="9"/>
  <c r="E67" i="9"/>
  <c r="D69" i="9"/>
  <c r="C69" i="9"/>
  <c r="D66" i="9"/>
  <c r="C66" i="9"/>
  <c r="E65" i="9"/>
  <c r="E66" i="9" s="1"/>
  <c r="E61" i="9"/>
  <c r="C64" i="9"/>
  <c r="D58" i="9"/>
  <c r="E56" i="9"/>
  <c r="E57" i="9"/>
  <c r="E55" i="9"/>
  <c r="C58" i="9"/>
  <c r="D54" i="9"/>
  <c r="C54" i="9"/>
  <c r="E48" i="9"/>
  <c r="E49" i="9"/>
  <c r="E50" i="9"/>
  <c r="E51" i="9"/>
  <c r="E52" i="9"/>
  <c r="E53" i="9"/>
  <c r="E47" i="9"/>
  <c r="D46" i="9"/>
  <c r="C46" i="9"/>
  <c r="E42" i="9"/>
  <c r="E43" i="9"/>
  <c r="E44" i="9"/>
  <c r="E45" i="9"/>
  <c r="E41" i="9"/>
  <c r="D34" i="9"/>
  <c r="C34" i="9"/>
  <c r="E33" i="9"/>
  <c r="E32" i="9"/>
  <c r="D31" i="9"/>
  <c r="C31" i="9"/>
  <c r="E30" i="9"/>
  <c r="E29" i="9"/>
  <c r="D157" i="21"/>
  <c r="F154" i="21"/>
  <c r="F155" i="21"/>
  <c r="F156" i="21"/>
  <c r="F153" i="21"/>
  <c r="E157" i="21"/>
  <c r="E25" i="9"/>
  <c r="E26" i="9"/>
  <c r="D28" i="9"/>
  <c r="C28" i="9"/>
  <c r="E21" i="9"/>
  <c r="E22" i="9"/>
  <c r="E23" i="9"/>
  <c r="E24" i="9"/>
  <c r="E12" i="9"/>
  <c r="E13" i="9"/>
  <c r="E14" i="9"/>
  <c r="E11" i="9"/>
  <c r="E15" i="9"/>
  <c r="E16" i="9"/>
  <c r="E17" i="9"/>
  <c r="E18" i="9"/>
  <c r="D19" i="9"/>
  <c r="C19" i="9"/>
  <c r="E10" i="9"/>
  <c r="E14" i="32"/>
  <c r="E15" i="32"/>
  <c r="E16" i="32"/>
  <c r="E17" i="32"/>
  <c r="D28" i="46" l="1"/>
  <c r="E20" i="47"/>
  <c r="D21" i="47"/>
  <c r="E54" i="9"/>
  <c r="E69" i="9"/>
  <c r="E58" i="9"/>
  <c r="E34" i="9"/>
  <c r="E31" i="9"/>
  <c r="E46" i="9"/>
  <c r="E28" i="9"/>
  <c r="E19" i="9"/>
  <c r="D18" i="32"/>
  <c r="C18" i="32"/>
  <c r="E13" i="32"/>
  <c r="E12" i="32"/>
  <c r="F145" i="21"/>
  <c r="F146" i="21"/>
  <c r="F147" i="21"/>
  <c r="F148" i="21"/>
  <c r="F149" i="21"/>
  <c r="F150" i="21"/>
  <c r="F151" i="21"/>
  <c r="F152" i="21"/>
  <c r="F144" i="21"/>
  <c r="F143" i="21"/>
  <c r="F142" i="21"/>
  <c r="E158" i="21"/>
  <c r="E139" i="21"/>
  <c r="D139" i="21"/>
  <c r="F133" i="21"/>
  <c r="F134" i="21"/>
  <c r="F135" i="21"/>
  <c r="F136" i="21"/>
  <c r="F137" i="21"/>
  <c r="F138" i="21"/>
  <c r="F140" i="21"/>
  <c r="F141" i="21"/>
  <c r="D158" i="21" l="1"/>
  <c r="F139" i="21"/>
  <c r="F126" i="21"/>
  <c r="E125" i="21" l="1"/>
  <c r="D125" i="21"/>
  <c r="F124" i="21"/>
  <c r="F123" i="21"/>
  <c r="F101" i="21" l="1"/>
  <c r="F89" i="21" l="1"/>
  <c r="F88" i="21"/>
  <c r="F68" i="21"/>
  <c r="F66" i="21"/>
  <c r="F65" i="21"/>
  <c r="F64" i="21"/>
  <c r="F63" i="21"/>
  <c r="F62" i="21"/>
  <c r="F58" i="21"/>
  <c r="F59" i="21"/>
  <c r="F57" i="21"/>
  <c r="F125" i="21" l="1"/>
  <c r="D60" i="21"/>
  <c r="E55" i="21"/>
  <c r="F33" i="21"/>
  <c r="F16" i="21"/>
  <c r="E32" i="21"/>
  <c r="F53" i="18" l="1"/>
  <c r="F51" i="18"/>
  <c r="E50" i="18"/>
  <c r="F50" i="18"/>
  <c r="G50" i="18"/>
  <c r="C36" i="25" l="1"/>
  <c r="D25" i="25" l="1"/>
  <c r="E14" i="14" l="1"/>
  <c r="F11" i="14"/>
  <c r="D27" i="33"/>
  <c r="C27" i="33"/>
  <c r="C9" i="33"/>
  <c r="D26" i="33"/>
  <c r="C26" i="33"/>
  <c r="E19" i="33"/>
  <c r="C23" i="33"/>
  <c r="E14" i="33"/>
  <c r="G51" i="20" l="1"/>
  <c r="G52" i="20"/>
  <c r="G53" i="20"/>
  <c r="G54" i="20"/>
  <c r="G55" i="20"/>
  <c r="G50" i="20"/>
  <c r="G26" i="20"/>
  <c r="G35" i="20"/>
  <c r="G39" i="20"/>
  <c r="G43" i="20"/>
  <c r="G47" i="20"/>
  <c r="F47" i="20"/>
  <c r="E47" i="20"/>
  <c r="F46" i="20"/>
  <c r="G46" i="20" s="1"/>
  <c r="E46" i="20"/>
  <c r="F45" i="20"/>
  <c r="E45" i="20"/>
  <c r="G45" i="20" s="1"/>
  <c r="F44" i="20"/>
  <c r="E44" i="20"/>
  <c r="G44" i="20" s="1"/>
  <c r="F43" i="20"/>
  <c r="E43" i="20"/>
  <c r="F42" i="20"/>
  <c r="G42" i="20" s="1"/>
  <c r="E42" i="20"/>
  <c r="F41" i="20"/>
  <c r="E41" i="20"/>
  <c r="G41" i="20" s="1"/>
  <c r="F40" i="20"/>
  <c r="E40" i="20"/>
  <c r="G40" i="20" s="1"/>
  <c r="F39" i="20"/>
  <c r="E39" i="20"/>
  <c r="F38" i="20"/>
  <c r="G38" i="20" s="1"/>
  <c r="E38" i="20"/>
  <c r="F37" i="20"/>
  <c r="E37" i="20"/>
  <c r="G37" i="20" s="1"/>
  <c r="E36" i="20"/>
  <c r="G36" i="20" s="1"/>
  <c r="F35" i="20"/>
  <c r="E35" i="20"/>
  <c r="F34" i="20"/>
  <c r="E34" i="20"/>
  <c r="G34" i="20" s="1"/>
  <c r="F33" i="20"/>
  <c r="E33" i="20"/>
  <c r="G33" i="20" s="1"/>
  <c r="E32" i="20"/>
  <c r="G32" i="20" s="1"/>
  <c r="F31" i="20"/>
  <c r="G31" i="20" s="1"/>
  <c r="E31" i="20"/>
  <c r="F30" i="20"/>
  <c r="E30" i="20"/>
  <c r="G30" i="20" s="1"/>
  <c r="F29" i="20"/>
  <c r="E29" i="20"/>
  <c r="G29" i="20" s="1"/>
  <c r="F28" i="20"/>
  <c r="E28" i="20"/>
  <c r="G28" i="20" s="1"/>
  <c r="F27" i="20"/>
  <c r="G27" i="20" s="1"/>
  <c r="E27" i="20"/>
  <c r="F26" i="20"/>
  <c r="F25" i="20"/>
  <c r="E25" i="20"/>
  <c r="G25" i="20" s="1"/>
  <c r="F24" i="20"/>
  <c r="E24" i="20"/>
  <c r="G24" i="20" s="1"/>
  <c r="C24" i="20"/>
  <c r="F23" i="20"/>
  <c r="G23" i="20" s="1"/>
  <c r="E23" i="20"/>
  <c r="F22" i="20"/>
  <c r="E22" i="20"/>
  <c r="G22" i="20" s="1"/>
  <c r="F21" i="20"/>
  <c r="G21" i="20" s="1"/>
  <c r="C21" i="20"/>
  <c r="F20" i="20"/>
  <c r="G20" i="20" s="1"/>
  <c r="C20" i="20"/>
  <c r="F19" i="20"/>
  <c r="G19" i="20" s="1"/>
  <c r="E19" i="20"/>
  <c r="C19" i="20"/>
  <c r="F18" i="20"/>
  <c r="G18" i="20" s="1"/>
  <c r="C18" i="20"/>
  <c r="F17" i="20"/>
  <c r="G17" i="20" s="1"/>
  <c r="F16" i="20"/>
  <c r="G16" i="20" s="1"/>
  <c r="F15" i="20"/>
  <c r="E15" i="20"/>
  <c r="G15" i="20" s="1"/>
  <c r="F14" i="20"/>
  <c r="F13" i="20"/>
  <c r="E48" i="20" l="1"/>
  <c r="D43" i="25" l="1"/>
  <c r="C43" i="25"/>
  <c r="E42" i="25"/>
  <c r="E43" i="25" l="1"/>
  <c r="D41" i="25" l="1"/>
  <c r="D44" i="25" s="1"/>
  <c r="C41" i="25"/>
  <c r="C44" i="25" s="1"/>
  <c r="F46" i="18"/>
  <c r="E46" i="18"/>
  <c r="G45" i="18"/>
  <c r="G46" i="18" s="1"/>
  <c r="E44" i="18"/>
  <c r="G43" i="18"/>
  <c r="G14" i="18"/>
  <c r="D45" i="25" l="1"/>
  <c r="E44" i="25"/>
  <c r="F42" i="18"/>
  <c r="E9" i="18" l="1"/>
  <c r="G32" i="18"/>
  <c r="G33" i="18"/>
  <c r="G34" i="18"/>
  <c r="G35" i="18"/>
  <c r="G36" i="18"/>
  <c r="G37" i="18"/>
  <c r="G38" i="18"/>
  <c r="G39" i="18"/>
  <c r="E42" i="18"/>
  <c r="E51" i="18" s="1"/>
  <c r="F26" i="18" l="1"/>
  <c r="F29" i="18" s="1"/>
  <c r="E26" i="18"/>
  <c r="E29" i="18" s="1"/>
  <c r="E48" i="18" s="1"/>
  <c r="G27" i="18"/>
  <c r="G28" i="18"/>
  <c r="F48" i="18" l="1"/>
  <c r="F52" i="18"/>
  <c r="E52" i="18"/>
  <c r="G26" i="18"/>
  <c r="D7" i="17" l="1"/>
  <c r="D18" i="27"/>
  <c r="C18" i="27"/>
  <c r="E16" i="27"/>
  <c r="E15" i="27"/>
  <c r="E12" i="24" l="1"/>
  <c r="E13" i="24"/>
  <c r="E14" i="24" s="1"/>
  <c r="C14" i="24"/>
  <c r="D14" i="24"/>
  <c r="C8" i="25"/>
  <c r="C9" i="25"/>
  <c r="C45" i="25"/>
  <c r="D46" i="25" s="1"/>
  <c r="D7" i="25" l="1"/>
  <c r="E39" i="25"/>
  <c r="E41" i="25" s="1"/>
  <c r="E29" i="25" l="1"/>
  <c r="D27" i="25"/>
  <c r="E27" i="25" s="1"/>
  <c r="E16" i="25"/>
  <c r="E14" i="25"/>
  <c r="E15" i="25"/>
  <c r="E17" i="25"/>
  <c r="E13" i="25"/>
  <c r="C36" i="26"/>
  <c r="E25" i="25" l="1"/>
  <c r="D54" i="39" l="1"/>
  <c r="E52" i="39"/>
  <c r="C50" i="39"/>
  <c r="D64" i="39"/>
  <c r="D50" i="39" l="1"/>
  <c r="E50" i="39" s="1"/>
  <c r="E34" i="39"/>
  <c r="E20" i="39"/>
  <c r="C19" i="37" l="1"/>
  <c r="G14" i="36" l="1"/>
  <c r="G13" i="36"/>
  <c r="G12" i="36"/>
  <c r="G11" i="36"/>
  <c r="G10" i="36"/>
  <c r="G9" i="36"/>
  <c r="E35" i="26" l="1"/>
  <c r="C34" i="26"/>
  <c r="E29" i="26"/>
  <c r="E24" i="26"/>
  <c r="D28" i="26"/>
  <c r="C28" i="26"/>
  <c r="E28" i="26" s="1"/>
  <c r="D39" i="22" l="1"/>
  <c r="B37" i="22"/>
  <c r="B35" i="22"/>
  <c r="D22" i="22"/>
  <c r="B21" i="22"/>
  <c r="D12" i="22"/>
  <c r="C20" i="41"/>
  <c r="C17" i="41"/>
  <c r="E33" i="24" l="1"/>
  <c r="C9" i="24"/>
  <c r="D35" i="24"/>
  <c r="C35" i="24"/>
  <c r="C28" i="24"/>
  <c r="C20" i="24"/>
  <c r="C30" i="24" s="1"/>
  <c r="D20" i="24"/>
  <c r="F7" i="43" l="1"/>
  <c r="F7" i="44"/>
  <c r="G9" i="44" l="1"/>
  <c r="F12" i="7"/>
  <c r="G10" i="7"/>
  <c r="G9" i="7"/>
  <c r="G10" i="43"/>
  <c r="G9" i="43"/>
  <c r="F17" i="44" l="1"/>
  <c r="F18" i="44" s="1"/>
  <c r="D17" i="44"/>
  <c r="G16" i="44"/>
  <c r="G15" i="44"/>
  <c r="G14" i="44"/>
  <c r="G13" i="44"/>
  <c r="G12" i="44"/>
  <c r="G11" i="44"/>
  <c r="G10" i="44"/>
  <c r="F17" i="43"/>
  <c r="D17" i="43"/>
  <c r="G16" i="43"/>
  <c r="G15" i="43"/>
  <c r="G14" i="43"/>
  <c r="G13" i="43"/>
  <c r="G12" i="43"/>
  <c r="G11" i="43"/>
  <c r="F18" i="43" l="1"/>
  <c r="G17" i="44"/>
  <c r="G17" i="43"/>
  <c r="C18" i="25"/>
  <c r="D18" i="25"/>
  <c r="D12" i="7" l="1"/>
  <c r="C22" i="41"/>
  <c r="E21" i="41"/>
  <c r="D20" i="41"/>
  <c r="E20" i="41" s="1"/>
  <c r="D17" i="41"/>
  <c r="D13" i="41"/>
  <c r="C13" i="41"/>
  <c r="E12" i="41"/>
  <c r="E11" i="41"/>
  <c r="D61" i="39"/>
  <c r="C61" i="39"/>
  <c r="H59" i="39"/>
  <c r="C54" i="39"/>
  <c r="E54" i="39"/>
  <c r="E49" i="39"/>
  <c r="E48" i="39"/>
  <c r="E44" i="39"/>
  <c r="D19" i="39"/>
  <c r="C19" i="39"/>
  <c r="E18" i="39"/>
  <c r="E17" i="39"/>
  <c r="E16" i="39"/>
  <c r="E15" i="39"/>
  <c r="D14" i="39"/>
  <c r="C14" i="39"/>
  <c r="E13" i="39"/>
  <c r="E12" i="39"/>
  <c r="C62" i="39" l="1"/>
  <c r="D62" i="39"/>
  <c r="C9" i="39"/>
  <c r="E14" i="39"/>
  <c r="E19" i="39"/>
  <c r="E13" i="41"/>
  <c r="D22" i="41"/>
  <c r="D23" i="41" s="1"/>
  <c r="C64" i="39"/>
  <c r="D65" i="39" s="1"/>
  <c r="E17" i="41"/>
  <c r="E22" i="41" s="1"/>
  <c r="C8" i="39" l="1"/>
  <c r="C8" i="41"/>
  <c r="E64" i="39"/>
  <c r="C63" i="39"/>
  <c r="D7" i="29" l="1"/>
  <c r="D34" i="26" l="1"/>
  <c r="D36" i="26" s="1"/>
  <c r="E9" i="28"/>
  <c r="D23" i="25"/>
  <c r="D36" i="25" s="1"/>
  <c r="C23" i="25"/>
  <c r="D19" i="37"/>
  <c r="C8" i="37" s="1"/>
  <c r="E23" i="25" l="1"/>
  <c r="E19" i="37"/>
  <c r="D20" i="37"/>
  <c r="G17" i="8"/>
  <c r="G31" i="8"/>
  <c r="E79" i="21" l="1"/>
  <c r="D79" i="21"/>
  <c r="F130" i="21"/>
  <c r="F131" i="21"/>
  <c r="F132" i="21"/>
  <c r="F86" i="21"/>
  <c r="F82" i="21"/>
  <c r="F83" i="21"/>
  <c r="F81" i="21"/>
  <c r="D87" i="21"/>
  <c r="E87" i="21"/>
  <c r="E76" i="21"/>
  <c r="F75" i="21"/>
  <c r="F74" i="21"/>
  <c r="D76" i="21"/>
  <c r="E73" i="21"/>
  <c r="D72" i="21"/>
  <c r="F72" i="21" s="1"/>
  <c r="D71" i="21"/>
  <c r="F71" i="21" s="1"/>
  <c r="F76" i="21" l="1"/>
  <c r="F73" i="21"/>
  <c r="F87" i="21"/>
  <c r="D73" i="21"/>
  <c r="C35" i="22" l="1"/>
  <c r="C21" i="22"/>
  <c r="D21" i="22" l="1"/>
  <c r="C37" i="22"/>
  <c r="D28" i="24"/>
  <c r="E28" i="24" s="1"/>
  <c r="B8" i="22" l="1"/>
  <c r="D30" i="24"/>
  <c r="E20" i="24"/>
  <c r="E67" i="21" l="1"/>
  <c r="D67" i="21" l="1"/>
  <c r="F67" i="21" s="1"/>
  <c r="D55" i="21"/>
  <c r="D32" i="21"/>
  <c r="F32" i="21" s="1"/>
  <c r="E60" i="21"/>
  <c r="F60" i="21" s="1"/>
  <c r="D61" i="21" l="1"/>
  <c r="F55" i="21"/>
  <c r="D69" i="21" l="1"/>
  <c r="D128" i="21" s="1"/>
  <c r="D159" i="21" s="1"/>
  <c r="E61" i="21"/>
  <c r="E69" i="21" s="1"/>
  <c r="E128" i="21" l="1"/>
  <c r="D9" i="21" s="1"/>
  <c r="F61" i="21"/>
  <c r="F69" i="21"/>
  <c r="F128" i="21" s="1"/>
  <c r="E25" i="33"/>
  <c r="E22" i="33"/>
  <c r="D11" i="13" l="1"/>
  <c r="D7" i="13" s="1"/>
  <c r="C11" i="13"/>
  <c r="G15" i="36" l="1"/>
  <c r="G16" i="36"/>
  <c r="D17" i="36"/>
  <c r="F17" i="36" l="1"/>
  <c r="F7" i="36" s="1"/>
  <c r="D64" i="9"/>
  <c r="E64" i="9" s="1"/>
  <c r="E60" i="9"/>
  <c r="E62" i="9"/>
  <c r="E63" i="9"/>
  <c r="E59" i="9"/>
  <c r="E72" i="9"/>
  <c r="E73" i="9"/>
  <c r="E74" i="9"/>
  <c r="E75" i="9"/>
  <c r="E36" i="9"/>
  <c r="E37" i="9"/>
  <c r="E38" i="9"/>
  <c r="E39" i="9"/>
  <c r="E35" i="9"/>
  <c r="D40" i="9"/>
  <c r="C40" i="9"/>
  <c r="G17" i="36" l="1"/>
  <c r="F18" i="36"/>
  <c r="E40" i="9"/>
  <c r="C28" i="33"/>
  <c r="D23" i="33"/>
  <c r="E13" i="33"/>
  <c r="E12" i="33"/>
  <c r="C8" i="33" l="1"/>
  <c r="D7" i="33" s="1"/>
  <c r="D28" i="33"/>
  <c r="D29" i="33" s="1"/>
  <c r="E26" i="33"/>
  <c r="E27" i="33" s="1"/>
  <c r="E23" i="33"/>
  <c r="E18" i="32"/>
  <c r="E28" i="33" l="1"/>
  <c r="D19" i="32"/>
  <c r="C8" i="32"/>
  <c r="F7" i="7" l="1"/>
  <c r="G12" i="7" l="1"/>
  <c r="F13" i="7"/>
  <c r="E39" i="26" l="1"/>
  <c r="D22" i="26"/>
  <c r="C22" i="26"/>
  <c r="D16" i="26"/>
  <c r="C16" i="26"/>
  <c r="E13" i="27"/>
  <c r="E18" i="27" s="1"/>
  <c r="D7" i="30" l="1"/>
  <c r="F10" i="30"/>
  <c r="F12" i="30" s="1"/>
  <c r="C20" i="29" l="1"/>
  <c r="D12" i="29" l="1"/>
  <c r="E18" i="29"/>
  <c r="D20" i="29" l="1"/>
  <c r="D21" i="29" s="1"/>
  <c r="C8" i="29"/>
  <c r="E12" i="29"/>
  <c r="E20" i="29" s="1"/>
  <c r="D7" i="28"/>
  <c r="C10" i="28"/>
  <c r="D11" i="28" l="1"/>
  <c r="D19" i="27"/>
  <c r="C9" i="27"/>
  <c r="E10" i="28"/>
  <c r="E8" i="5"/>
  <c r="D9" i="5"/>
  <c r="C9" i="5"/>
  <c r="D19" i="25"/>
  <c r="D37" i="25" l="1"/>
  <c r="E9" i="5"/>
  <c r="E18" i="25"/>
  <c r="E19" i="25" s="1"/>
  <c r="C19" i="25"/>
  <c r="D10" i="5"/>
  <c r="D40" i="26"/>
  <c r="D41" i="26" s="1"/>
  <c r="D42" i="26" s="1"/>
  <c r="C40" i="26"/>
  <c r="C41" i="26" s="1"/>
  <c r="C42" i="26" s="1"/>
  <c r="E40" i="26"/>
  <c r="E41" i="26" s="1"/>
  <c r="C8" i="26"/>
  <c r="E34" i="26"/>
  <c r="E36" i="26" s="1"/>
  <c r="E42" i="26" s="1"/>
  <c r="E23" i="26"/>
  <c r="E21" i="26"/>
  <c r="E20" i="26"/>
  <c r="E19" i="26"/>
  <c r="E18" i="26"/>
  <c r="E15" i="26"/>
  <c r="E14" i="26"/>
  <c r="C37" i="25" l="1"/>
  <c r="D43" i="26"/>
  <c r="E36" i="25"/>
  <c r="E45" i="25" s="1"/>
  <c r="E22" i="26"/>
  <c r="E16" i="26"/>
  <c r="C9" i="26"/>
  <c r="E37" i="25" l="1"/>
  <c r="E27" i="9"/>
  <c r="E70" i="9"/>
  <c r="E71" i="9"/>
  <c r="E20" i="9"/>
  <c r="C8" i="24" l="1"/>
  <c r="D7" i="24" s="1"/>
  <c r="E29" i="24"/>
  <c r="E30" i="24" s="1"/>
  <c r="D12" i="23"/>
  <c r="C12" i="23"/>
  <c r="D36" i="22"/>
  <c r="E12" i="23" l="1"/>
  <c r="D13" i="23"/>
  <c r="D35" i="22"/>
  <c r="D37" i="22" s="1"/>
  <c r="D11" i="17" l="1"/>
  <c r="C11" i="17"/>
  <c r="E10" i="17"/>
  <c r="C12" i="17" l="1"/>
  <c r="F56" i="20"/>
  <c r="E10" i="20" s="1"/>
  <c r="F14" i="21" l="1"/>
  <c r="E56" i="20" l="1"/>
  <c r="F15" i="21" l="1"/>
  <c r="C41" i="22"/>
  <c r="B41" i="22"/>
  <c r="B42" i="22" s="1"/>
  <c r="E159" i="21"/>
  <c r="F159" i="21" s="1"/>
  <c r="F158" i="21" l="1"/>
  <c r="E160" i="21"/>
  <c r="D41" i="22"/>
  <c r="D42" i="22" s="1"/>
  <c r="B9" i="22"/>
  <c r="B7" i="22" s="1"/>
  <c r="C42" i="22"/>
  <c r="F157" i="21"/>
  <c r="D10" i="21"/>
  <c r="E8" i="21" s="1"/>
  <c r="C43" i="22" l="1"/>
  <c r="F48" i="20"/>
  <c r="E57" i="20"/>
  <c r="F57" i="20" l="1"/>
  <c r="G10" i="8"/>
  <c r="G11" i="8"/>
  <c r="G12" i="8"/>
  <c r="G13" i="8"/>
  <c r="G14" i="8"/>
  <c r="G15" i="8"/>
  <c r="G18" i="8"/>
  <c r="G19" i="8"/>
  <c r="G20" i="8"/>
  <c r="G16" i="8"/>
  <c r="G21" i="8"/>
  <c r="G22" i="8"/>
  <c r="G9" i="8"/>
  <c r="G32" i="8" l="1"/>
  <c r="F32" i="8"/>
  <c r="F36" i="8" s="1"/>
  <c r="G33" i="8" l="1"/>
  <c r="G36" i="8" s="1"/>
  <c r="E7" i="8"/>
  <c r="E36" i="8" l="1"/>
  <c r="F37" i="8" s="1"/>
  <c r="E9" i="20"/>
  <c r="E8" i="20" s="1"/>
  <c r="G14" i="20"/>
  <c r="G13" i="20"/>
  <c r="G56" i="20" l="1"/>
  <c r="G48" i="20"/>
  <c r="F58" i="20"/>
  <c r="D16" i="19"/>
  <c r="C8" i="19" s="1"/>
  <c r="C16" i="19"/>
  <c r="E15" i="19"/>
  <c r="E14" i="19"/>
  <c r="E13" i="19"/>
  <c r="E12" i="19"/>
  <c r="E11" i="19"/>
  <c r="G57" i="20" l="1"/>
  <c r="E16" i="19"/>
  <c r="D17" i="19"/>
  <c r="G40" i="18" l="1"/>
  <c r="G41" i="18"/>
  <c r="G13" i="18" l="1"/>
  <c r="G15" i="18"/>
  <c r="G12" i="18"/>
  <c r="G31" i="18"/>
  <c r="G29" i="18" l="1"/>
  <c r="E8" i="18"/>
  <c r="E7" i="18" s="1"/>
  <c r="G42" i="18"/>
  <c r="G51" i="18" s="1"/>
  <c r="G52" i="18" s="1"/>
  <c r="E9" i="17"/>
  <c r="E11" i="17" s="1"/>
  <c r="G48" i="18" l="1"/>
  <c r="D12" i="13"/>
  <c r="D76" i="9"/>
  <c r="C76" i="9"/>
  <c r="E13" i="14"/>
  <c r="D8" i="14" l="1"/>
  <c r="E10" i="13"/>
  <c r="E11" i="13" s="1"/>
  <c r="D78" i="9" l="1"/>
  <c r="D12" i="11"/>
  <c r="E12" i="11" s="1"/>
  <c r="D7" i="11" l="1"/>
  <c r="D13" i="11"/>
  <c r="D18" i="10"/>
  <c r="C18" i="10"/>
  <c r="E17" i="10"/>
  <c r="E18" i="10" s="1"/>
  <c r="D19" i="10" l="1"/>
  <c r="D14" i="10"/>
  <c r="E76" i="9" l="1"/>
  <c r="D13" i="6" l="1"/>
  <c r="E13" i="6"/>
  <c r="F13" i="6" l="1"/>
  <c r="D14" i="6"/>
  <c r="E17" i="31" l="1"/>
  <c r="D18" i="31"/>
</calcChain>
</file>

<file path=xl/sharedStrings.xml><?xml version="1.0" encoding="utf-8"?>
<sst xmlns="http://schemas.openxmlformats.org/spreadsheetml/2006/main" count="1502" uniqueCount="592">
  <si>
    <t>назва</t>
  </si>
  <si>
    <t xml:space="preserve">заплановано </t>
  </si>
  <si>
    <t>профінансовано</t>
  </si>
  <si>
    <t>Разом</t>
  </si>
  <si>
    <t>залишок</t>
  </si>
  <si>
    <t>відхилення</t>
  </si>
  <si>
    <t>кількість отримувачів</t>
  </si>
  <si>
    <t>профінан-совано</t>
  </si>
  <si>
    <t xml:space="preserve">запла-новано </t>
  </si>
  <si>
    <t>вико-ристано</t>
  </si>
  <si>
    <t>кількість обєктів</t>
  </si>
  <si>
    <t>використано</t>
  </si>
  <si>
    <t>Перелік заходів програми</t>
  </si>
  <si>
    <t>Заплановано на рік</t>
  </si>
  <si>
    <t>нарахування на оплату праці</t>
  </si>
  <si>
    <t>заробітна плата</t>
  </si>
  <si>
    <t>Всього по загальному фонду</t>
  </si>
  <si>
    <t>Загальний фонд</t>
  </si>
  <si>
    <t>Спеціальний фонд</t>
  </si>
  <si>
    <t>Всього по спеціальному фонду</t>
  </si>
  <si>
    <t>од.</t>
  </si>
  <si>
    <t>Проведення заходів від підтоплення і затоплення територій (земель), направлених на запобігання розвитку небезпечних геологічних процесів по вул. Свято-Покровська, Ново-Київська, Польова, Івана Кудрі, Козацька, Каневська, пров. Каневський в с. Нові Петрівці Вишгородського району Київської області</t>
  </si>
  <si>
    <t>«Капітальне будівництво, реконструкція та капітальний ремонт</t>
  </si>
  <si>
    <t>«Благоустрій Петрівської сільської територіальної громади на 2022-2024 роки»</t>
  </si>
  <si>
    <t>код КПК</t>
  </si>
  <si>
    <t>«Підготовка до продажу земельних ділянок</t>
  </si>
  <si>
    <t>несільськогосподарського призначення комунальної власності або прав</t>
  </si>
  <si>
    <t>Оплата робіт по проведенню експертної грошової оцінки земельних ділянок несільськогосподарського призначення</t>
  </si>
  <si>
    <t>засоби масової інформації</t>
  </si>
  <si>
    <t>підтримка сайту Петрівської сільської ради</t>
  </si>
  <si>
    <t>публікація газети "Петрівська громада"</t>
  </si>
  <si>
    <t>Всього</t>
  </si>
  <si>
    <t xml:space="preserve">У 2022 році фактичні видатки на Програму склали : </t>
  </si>
  <si>
    <t>по загальному фонду</t>
  </si>
  <si>
    <t>по спеціальному фонду</t>
  </si>
  <si>
    <t>Статті затрат</t>
  </si>
  <si>
    <t>к-ть</t>
  </si>
  <si>
    <t>грн.</t>
  </si>
  <si>
    <t>Процент виконання</t>
  </si>
  <si>
    <t>%</t>
  </si>
  <si>
    <t>процент виконання</t>
  </si>
  <si>
    <t>%            виконання</t>
  </si>
  <si>
    <t>Всього по КПК</t>
  </si>
  <si>
    <t>Разом по програмі</t>
  </si>
  <si>
    <t>обслуговування системи оповіщення та інформування населення</t>
  </si>
  <si>
    <t>посл.</t>
  </si>
  <si>
    <t>електрична енергія в т.ч.розподіл</t>
  </si>
  <si>
    <t>природний газ</t>
  </si>
  <si>
    <t>кВт</t>
  </si>
  <si>
    <t>м3</t>
  </si>
  <si>
    <t>посл</t>
  </si>
  <si>
    <t>шт</t>
  </si>
  <si>
    <t>придбання палива</t>
  </si>
  <si>
    <t>дизельне пальне</t>
  </si>
  <si>
    <t>л</t>
  </si>
  <si>
    <t>бензину</t>
  </si>
  <si>
    <t xml:space="preserve">       Основною метою Програми є забезпечення надійності систем життєзабезпечення, комфортності і безпеки умов  проживання населення, зниження витрат на виробництво коунальних послуг, досягнення оптимального співвідношення вартості послуг до доходів населення , створення належних умов функціонування, підвищення ролі та відповідальності структурних підрозділів истем комунального господарства гроади як єдиного цілісного комплексу з надання комунальних послуг населенню, підприємствам та організаціям. В комунальному господарстві функціонують такі основні галузі водопостачання та водовідведення. </t>
  </si>
  <si>
    <t>Новопетрівський ліцей</t>
  </si>
  <si>
    <t>Новопетрівська гімназія № 1</t>
  </si>
  <si>
    <t>Новопетрівська гімназія № 2</t>
  </si>
  <si>
    <t>Лютізький ліцей</t>
  </si>
  <si>
    <t>Заробітна плата</t>
  </si>
  <si>
    <t>Нарахування на заробітну плату</t>
  </si>
  <si>
    <t>Придбання бензину А-92</t>
  </si>
  <si>
    <t>Придбання бензину А-95</t>
  </si>
  <si>
    <t>Придбання газу для транспортних засобів</t>
  </si>
  <si>
    <t>Придбання дизельного пального</t>
  </si>
  <si>
    <t>Придбання солі технічної</t>
  </si>
  <si>
    <t>Придбання піску</t>
  </si>
  <si>
    <t>Страхування автомобілів та тракторів</t>
  </si>
  <si>
    <t>Налагодження та супровід бухгалтерського програмного забезпечення</t>
  </si>
  <si>
    <t>нарахування на заробітну плату</t>
  </si>
  <si>
    <t>профілювання, грейдерування доріг громади</t>
  </si>
  <si>
    <t>зовнішнє освітлення населених пунтків (тех.обслуг.)</t>
  </si>
  <si>
    <t>збирання сміття та ліквідація стихійних сміттєзвалищ</t>
  </si>
  <si>
    <t>обслуговування свтілофорних обєктів</t>
  </si>
  <si>
    <t>ямковий ремонт</t>
  </si>
  <si>
    <t>всього по КПК</t>
  </si>
  <si>
    <t>од. вим.</t>
  </si>
  <si>
    <t>кіль-кість</t>
  </si>
  <si>
    <t>м2</t>
  </si>
  <si>
    <t>т</t>
  </si>
  <si>
    <t>зимове утримання доріг  (посипання сумішшю)</t>
  </si>
  <si>
    <t>м/год</t>
  </si>
  <si>
    <t>оплата за спожиту електроенергію лініями зовнішнього освітлення</t>
  </si>
  <si>
    <t>Придбання мастил</t>
  </si>
  <si>
    <t>год</t>
  </si>
  <si>
    <t xml:space="preserve">Придбання запчастин для транспортних засобів </t>
  </si>
  <si>
    <t>водопостачання та водовідведення</t>
  </si>
  <si>
    <t>електрична енергія</t>
  </si>
  <si>
    <t>інші енергоносії</t>
  </si>
  <si>
    <t>Статтею 71 Бюджетного кодексу України передбачено таке:</t>
  </si>
  <si>
    <t xml:space="preserve">Придбання предметів довгострокового користування </t>
  </si>
  <si>
    <t>медикаменти</t>
  </si>
  <si>
    <t>харчування</t>
  </si>
  <si>
    <t>назва закладу</t>
  </si>
  <si>
    <t>статті затрат</t>
  </si>
  <si>
    <t>харчування (Пролісок)</t>
  </si>
  <si>
    <t>харчування (Барвінок)</t>
  </si>
  <si>
    <t>харчування (Петрик)</t>
  </si>
  <si>
    <t>навчання та підготовка кадрів</t>
  </si>
  <si>
    <t>інші поточні видатки</t>
  </si>
  <si>
    <t xml:space="preserve">Комунальне підприємство «Петрівський благоустрій» Петрівської сільської ради (далі – підприємство) створено рішенням Петрівської сільської ради від 21 січня 2021 року №63.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Підприємство створене з метою задоволення суспільних та господарських потреб шляхом систематичного здійснення виробничої та господарської діяльності в порядку, визначеному чинним законодавством України, та задоволення економічних і соціальних інтересів трудового колективу та Петрівської сільської територіальної громади.Для забезпечення належного виконання статутних завдань, розвитку напрямків діяльності та підтримки функціонування підприємства необхідно передбачити кошти для його утримання,  придбання та створення матеріально-технічної бази підприємства.                                                                                                                                             Виконання Програми дасть можливість: 
 - створити умови для стабільної роботи комунального підприємства відповідно до його функціонального призначення; 
 - надання якісних безперебійних послуг підприємством за рахунок зміцнення його матеріально-технічної бази.
</t>
  </si>
  <si>
    <t>водовідведення</t>
  </si>
  <si>
    <t>Комунальні послуги</t>
  </si>
  <si>
    <t>Оплата праці</t>
  </si>
  <si>
    <t>Придбання матеріалів</t>
  </si>
  <si>
    <t>ВСЬОГО</t>
  </si>
  <si>
    <t>загальний фонд</t>
  </si>
  <si>
    <t>спеціальний фонд</t>
  </si>
  <si>
    <t>РАЗОМ ПО ПРОГРАМІ</t>
  </si>
  <si>
    <t>Всього оплата праці</t>
  </si>
  <si>
    <t>Всього комунальні послуги</t>
  </si>
  <si>
    <t>Всього придбання матеріалів</t>
  </si>
  <si>
    <t>Всього послуги різні</t>
  </si>
  <si>
    <t>РАЗОМ загальний+спеціальний</t>
  </si>
  <si>
    <t>вивіз сміття</t>
  </si>
  <si>
    <t>вико-                       ристано</t>
  </si>
  <si>
    <t>Код КПК</t>
  </si>
  <si>
    <t xml:space="preserve">Програма реалізується відповідно до основних заходів та обсягу коштів, які виділені на їх виконання. </t>
  </si>
  <si>
    <t>медичні засоби: калоприймачі, підгузники, урологічні прокладки, сечоприймачі</t>
  </si>
  <si>
    <t>Надання одноразової грошової допомоги в розмірі не менше шести прожиткових мінімумів для осіб відповідного віку</t>
  </si>
  <si>
    <t xml:space="preserve"> </t>
  </si>
  <si>
    <t xml:space="preserve">стаття витрат </t>
  </si>
  <si>
    <t>Фактичний обсяг фінансування виплати становить</t>
  </si>
  <si>
    <r>
      <t xml:space="preserve">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t>
    </r>
    <r>
      <rPr>
        <sz val="11"/>
        <rFont val="Calibri"/>
        <family val="2"/>
        <charset val="204"/>
        <scheme val="minor"/>
      </rPr>
      <t xml:space="preserve">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t>
    </r>
    <r>
      <rPr>
        <sz val="11"/>
        <color theme="1"/>
        <rFont val="Calibri"/>
        <family val="2"/>
        <charset val="204"/>
        <scheme val="minor"/>
      </rPr>
      <t xml:space="preserve">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
</t>
    </r>
  </si>
  <si>
    <t>інші заходи (навчання)</t>
  </si>
  <si>
    <t>Всього придбано матеріалів</t>
  </si>
  <si>
    <t>Харчування дітей дошкільних закладів</t>
  </si>
  <si>
    <t>Придбання медикаментів</t>
  </si>
  <si>
    <t>Всього придбано послуг</t>
  </si>
  <si>
    <t>безпека охорони праці під час експлуатації обладнання</t>
  </si>
  <si>
    <t>Всього послуг і матеріалів</t>
  </si>
  <si>
    <t>Видатки на відрядження</t>
  </si>
  <si>
    <t>засоби гігієни</t>
  </si>
  <si>
    <t>матраци</t>
  </si>
  <si>
    <t>набір гігієнічний</t>
  </si>
  <si>
    <t>планшети</t>
  </si>
  <si>
    <t>памперси, одяг б/у, пакети, ковдри</t>
  </si>
  <si>
    <t>всього спеціальний</t>
  </si>
  <si>
    <t xml:space="preserve">        У звязку з військовим вторгненням російської федерації та введенням воєнного стану підприємством не  використано кошти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</si>
  <si>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ПРОГРАМІ</t>
  </si>
  <si>
    <t>Звіт по програмі</t>
  </si>
  <si>
    <t xml:space="preserve">Звіт по програмі </t>
  </si>
  <si>
    <t xml:space="preserve">        У звязку з військовим вторгненням російської федерації та введенням воєнного стану  кошти передбачені програмою використано не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</si>
  <si>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Програма розроблена з метою утвердження духовно і фізично здорової, матеріально та соціально благополучної сім’ї, забезпечення виконання сім’єю основних функцій, надання якісної та комплексної соціальних послуг особам, сім’ям дітям та молоді, які опинилися  у складних життєвих обставинах, створення умов для вибору місцевими жителями позитивних життєвих орієнтирів та подолання кризових явищ, всебічного та гармонійного розвитку молодого покоління, розкриття його здібностей та творчого потенціалу, утвердження здорового способу життя, підтримки осіб похилого віку, осіб та дітей з інвалідністю, хворих  (з числа осіб працездатного віку на період до встановлення їм групи інвалідності, але не більш як чотири місяці), які не здатні до самообслуговування і потребують сторонньої допомоги.                                                                                                                                Сім’я є найважливішим соціальним інститутом суспільства, завжди виступає моделлю конкретного історичного періоду, його розвитку і відбиває його моральні і духовні суперечності, постійно відчуває на собі всі зміни, які відбуваються у суспільстві, і відповідно через членів сім’ї впливають на його розвиток.                                                                                                                   Введений воєнний стан який спричинений військовою агресією російської федерації в Україні, призвів до соціально-економічної кризи в країні, що охопила всі сфери життєдіяльності суспільства і не могла на позначитися на функціонуванні сім’ї. Багато сімей опинилися в скрутних матеріальних та соціально-психологічних умовах.</t>
  </si>
  <si>
    <t>-                     до надходжень бюджету розвитку сільського бюджету включають кошти від продажу земельних ділянок несільськогосподарського призначення або прав на них;</t>
  </si>
  <si>
    <t>-                     до витрат бюджету розвитку сільських бюджетів належать витрати на проведення експертної грошової оцінки земельної ділянки, що підлягає продажу відповідно до статті 128 Земельного кодексу України, за рахунок авансу, внесеного покупцем земельної ділянки;</t>
  </si>
  <si>
    <t>-                     до витрат бюджету розвитку сільських бюджетів належать витрати на підготовку земельних ділянок несільськогосподарського призначення або прав на них для продажу на земельних торгах та проведення таких торгів.</t>
  </si>
  <si>
    <t xml:space="preserve">        Метою цієї Програми є здійснення Петрівською сільською радою робіт по проведенню експертної грошової оцінки земельних ділянок несільськогосподарського призначення на підставі  рішень сільської ради щодо викупу таких ділянок суб’єктам підприємницької діяльності та громадянам в порядку визначеному статтею 128 Земельного кодексу України та землевпорядних робіт по розробці технічної  документації з землеустрою та проведенню експертної грошової оцінки земельних ділянок несільськогосподарського призначення в порядку підготовки земельних ділянок або прав на них для продажу (лотів) на земельних торгах та проведення таких торгів в порядку визначеному статтями 135, 136 Земельного кодексу України.</t>
  </si>
  <si>
    <t>Земельна реформа в Україні є важливою складовою частиною загальнодержавної економічної реформи, яка здійснюється у зв’язку з переходом економіки держави до ринкових  відносин.</t>
  </si>
  <si>
    <t>Проведення земельної реформи пов’язано зі зміною форм власності, перерозподілом земель, збільшенням кількості землекористувачів і власників землі, що потребує виконання великої кількості обгрунтувань, технічних розрахунків, виготовлення картографічних матеріалів, юридичного посвідчення прав на земельні ділянки, державної реєстрації і вимагає відповідної законодавчої бази та фінансування.</t>
  </si>
  <si>
    <t>Головне завдання полягає в тому, щоб за допомогою правових норм, фінансово-економічних важелів забезпечити проведення робіт по землеустрою, створити автоматизований державний банк даних про власників землі і землекористувачів, екологічний стан, напрями і структуру використання земельних ресурсів, підвищити відповідальність усіх суб’єктів господарювання на землі, збільшенні надходжень до місцевих бюджетів від плати за землю.</t>
  </si>
  <si>
    <t>Програма виконана в межах наданих послуг.</t>
  </si>
  <si>
    <t xml:space="preserve">      Одним з найважливіших пріоритетів розвитку Петрівської сільської територіальної громади є розвиток будівельної галузі. Уведення в дію нових, проведення реконструкції або капітального ремонту важливих для громади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сприяють підвищенню ефективності й надійності функціонування житлово-комунальної системи, доступності та якості соціальних і транспортних послуг для населення, створенню  комфортного життєвого простору, покращенню якості життя населення громади. Програма спрямована на реалізацію завдань і заходів державної та місцевої політики у сфері будівництва.З метою підтримання повноцінного життєвого середовища, Програмою передбачається нове будівництво, реконструкція та капітальний ремонт  важливих об’єктів житлово-комунального та соціального призначення, інженерно-транспортних мереж сполучення тощо.                                                                                                Стан багатьох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не відповідає чинним будівельним нормам і не задовольняє сучасних потреб суспільства, що негативно позначається на якості життя мешканців громади.
Програма спрямована на вирішення основних проблемних питань розбудови Петрівської сільської територіальної громади шляхом будівництва, капітального ремонту об’єктів, передбачених переліком її заходів і завдань</t>
  </si>
  <si>
    <t xml:space="preserve">        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t>
  </si>
  <si>
    <t>Оплата послуг з обстеження та оцінки технічного стану конструкцій об’єктів, що знаходяться на території Петрівської територіальної громади, які пошкоджені внаслідок збройної агресії російської федерації проти України.</t>
  </si>
  <si>
    <t>Звіт по комплексній програмі</t>
  </si>
  <si>
    <t>Метою програми є розробка та затвердження концепції інтегрованого просторового розвитку, розробка містобудівної документації «Внесення змін до Генерального плану села Старі Петрівці Вишгородського району Київської області»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 розроблення прогнозування розвитку території;                                                                                                - забезпечення раціонального розселення і визначення напрямів сталого розвитку територій;                                                                                                                                                          - обґрунтування розподілу земель за цільовим призначенням;                                                                                   -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 встановлення режиму забудови територій, на яких передбачено провадження містобудівної діяльності;                                                                                                                           -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 створення та розвиток інженерно-транспортної інфраструктури;                                                                          - проведення моніторингу забудови.</t>
  </si>
  <si>
    <t xml:space="preserve">       Комунальне некомерційне підприємство «Спеціалізоване підприємство з рекультивації земель Старопетрівського сміттєзвалища» Петрівської сільської ради (далі – підприємство) створено згідно з рішенням Петрівської сільської ради з рішенням Петрівської сільської ради «Про створення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 885 від «24» грудня  2021 року.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</si>
  <si>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придбання матеріалів, обладнання та інвентар</t>
  </si>
  <si>
    <t>Всього послуг</t>
  </si>
  <si>
    <t xml:space="preserve">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</si>
  <si>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матеріали та послуги</t>
  </si>
  <si>
    <r>
      <t xml:space="preserve">      Культура є ключовим елементом гармонійного й динамічного розвитку країни та суспільства. </t>
    </r>
    <r>
      <rPr>
        <sz val="12"/>
        <color theme="1"/>
        <rFont val="Calibri"/>
        <family val="2"/>
        <charset val="204"/>
        <scheme val="minor"/>
      </rPr>
      <t>Розвиток культури сіл спрямований на відродження і збереження національної української культури,</t>
    </r>
    <r>
      <rPr>
        <sz val="12"/>
        <color rgb="FF000000"/>
        <rFont val="Calibri"/>
        <family val="2"/>
        <charset val="204"/>
        <scheme val="minor"/>
      </rPr>
      <t xml:space="preserve"> національно-патріотичного виховання,</t>
    </r>
    <r>
      <rPr>
        <sz val="12"/>
        <color theme="1"/>
        <rFont val="Calibri"/>
        <family val="2"/>
        <charset val="204"/>
        <scheme val="minor"/>
      </rPr>
      <t xml:space="preserve"> забезпечення свободи творчості, вільного розвитку культурно-мистецьких процесів, професійної та аматорської творчості, реалізації прав громадян на доступ до культурних цінностей, створення умов розвитку культури.   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t>
    </r>
  </si>
  <si>
    <t>Необхідність розроблення Програми зумовлена загостренням проблем сирітства, зокрема, соціального сирітства. Основними причинами цього явища є падіння соціального престижу сім’ї, погіршення її матеріальних і житлових умов, збільшення кількості дітей, які проживають у неповних сім’ях, у сім’ях, які ведуть аморальний спосіб життя.  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 За даними служби у справах дітей Петрівської сільської ради на первинному обліку перебувають 26 дітей-сиріт та дітей, позбавлених батьківського піклування.</t>
  </si>
  <si>
    <t>Програмою передбачено виконання заходів спрямованих на підтримку Збройних Сил України, призовників, мобілізованих працівників,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t>
  </si>
  <si>
    <t>"Забезпечення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територіальної громади на 2022 рік"</t>
  </si>
  <si>
    <t xml:space="preserve">Головною метою Програми є створення умов для економічного зростання та удосконалення механізмів управління розвитком громади на засадах ефективності, відкритості та прозорості, посилення інвестиційної та інноваційної активності, забезпечення належного функціонування транспортної та комунальної інфраструктури, дотримання екологічних стандартів та внаслідок цього підвищення конкретності громади, доступності широкого спектра соціальних послуг та зростання добробуту населення. </t>
  </si>
  <si>
    <t>заходи з реалізації державних програм (навчання та підготовка кадрів)</t>
  </si>
  <si>
    <t xml:space="preserve"> Звіт по програмі </t>
  </si>
  <si>
    <t>придбання предметів довгострокового користування</t>
  </si>
  <si>
    <t>Всього спеціальний фонд</t>
  </si>
  <si>
    <t>Всього загальний фонд</t>
  </si>
  <si>
    <t xml:space="preserve">Разом </t>
  </si>
  <si>
    <t>Інші послуги</t>
  </si>
  <si>
    <t>Всього дошкільна освіта</t>
  </si>
  <si>
    <t xml:space="preserve">Всього інших послуг </t>
  </si>
  <si>
    <t>СЕРЕДНЯ ОСВІТА</t>
  </si>
  <si>
    <t>ДОШКІЛЬНА ОСВІТА</t>
  </si>
  <si>
    <t>Виплата стипендій</t>
  </si>
  <si>
    <t>комунальні послуги</t>
  </si>
  <si>
    <t>водопостачання</t>
  </si>
  <si>
    <t>придбання матеріалів</t>
  </si>
  <si>
    <t>інші послуги (судовий збір, навчання та підготовка кадрів)</t>
  </si>
  <si>
    <t>Всього середня освіта</t>
  </si>
  <si>
    <t>Відшкодування компенсацій  проведено в повному обсязі згідно наданих актів та поданих зверень громадян.</t>
  </si>
  <si>
    <t>Проведено круглий сті на тему: "Про першочергові заходи щодореалізації державної політики з метою соціально-правового захисту дітей"</t>
  </si>
  <si>
    <t>Виплата одноразової матеріальної  допомоги дитині сироті, після досягнення нею 18 річного віку</t>
  </si>
  <si>
    <t>Захід до Всеукраїнської акції "16  днів проти насильства"</t>
  </si>
  <si>
    <t>Заходи до дня Святого Миколая</t>
  </si>
  <si>
    <t>Заходи до Новорічних та різдвяних свят</t>
  </si>
  <si>
    <t xml:space="preserve">Програма виконана в межах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</si>
  <si>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вартості медикаментів придбаних для пільгових категрій громадян</t>
  </si>
  <si>
    <t>Всього придбання послуг</t>
  </si>
  <si>
    <t>Комунальне підприємство «Петрівський комбінат комунальних послуг» (далі – комунальне підприємство) є стратегічно важливим підприємством для Петрівської сільської територіальної громади, яке забезпечує населені пункти громади централізованим водопостачанням та водовідведенням. Фінансовий стан комунального підприємства є складним. До основних чинників належить значне податкове навантаження, зростання цін за енергоносії та паливно-мастильні матеріали.  Військове вторгнення Російської Федерації в Україну та  ведення активних військових дій на значній території нашої держави зумовило зниження рівня розрахунків за спожиті послуги населенням. Для стабільного та беззбиткового функціонування, комунальне підприємство потребує підтримки з боку місцевих органів самоврядування, залучення додаткового фінансування, в тому числі, у вигляді зовнішніх та внутрішніх інвестицій, що сприяє стабілізації фінансово-господарської діяльності, ефективному використанню, належному утриманню майна, оновленню парку спецтехніки та обладнання, забезпеченню повного і своєчасного внесення платежів до бюджету та вирішенню інших питань, пов’язаних з веденням господарської діяльності підприємства. Фінансове забезпечення Програми здійснюється відповідно до законодавства України за рахунок коштів місцевого бюджету та інших джерел, не заборонених чинним законодавством України.</t>
  </si>
  <si>
    <t xml:space="preserve">Програма виконана в межах дозволених видатків відповідно до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</si>
  <si>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 xml:space="preserve">заплано-вано </t>
  </si>
  <si>
    <t>до рішення сільської ради</t>
  </si>
  <si>
    <t>від 16.02.2023 року № 1330</t>
  </si>
  <si>
    <t>Додаток № 1</t>
  </si>
  <si>
    <t>Виплати коштів  були здійснені по фактично наданих зверненнях громадян.</t>
  </si>
  <si>
    <t>Секретар Петрівської сільської ради</t>
  </si>
  <si>
    <t>Світлана</t>
  </si>
  <si>
    <t>КОСТЮК</t>
  </si>
  <si>
    <t>Світлана КОСТЮК</t>
  </si>
  <si>
    <t>Додаток № 2</t>
  </si>
  <si>
    <t>Додаток № 3</t>
  </si>
  <si>
    <t>Секретар Петрівської сільської  ради</t>
  </si>
  <si>
    <t>Додаток № 4</t>
  </si>
  <si>
    <t xml:space="preserve">Секретар Петрівської сільської ради </t>
  </si>
  <si>
    <t xml:space="preserve">         Благоустрій – комплекс робіт з інженерного захисту, розчищення, озеленення території, а також соціально-економічних, організаційно-правових та екологічних заходів з покращання мікроклімату, санітарного очищення, зниження рівня шуму тощо, що здійснюються на території населених пунктів з метою її раціонального використання,  належного утримання та охорони, створення умов щодо захисту і відновлення  сприятливого для життєдіяльності людини довкілля.  Програма «Благоустрій Петрівської сільської територіальної громади на 2022-2024 роки» (далі – Програма) розроблена на виконання Закону України «Про благоустрій населених пунктів», Закону України «Про місцеве самоврядування в Україні», Закону України «Про дорожній рух», Закону України «Про автомобільні дороги», Правил благоустрою території Петрівської сільської територіальної громади та інших нормативно-правових актів у сфері благоустрою населених пунктів. Виконання Програми передбачає:                                                                                                                                        -       запровадження стимулів до економного і раціонального господарювання та використання ресурсів;                                                                                                                                                                                                                            -       покращення екологічного та санітарного стану громади;                                                                                                                                               -       прозорість прийнятих рішень щодо реформування житлово-комунального господарства громади. Однією з стратегічних цілей Програми є створення безпечного та комфортного середовища для проживання, що досягається шляхом забезпечення належного рівня благоустрою. </t>
  </si>
  <si>
    <t>Додаток № 5</t>
  </si>
  <si>
    <t>Додаток № 6</t>
  </si>
  <si>
    <t>Додаток № 7</t>
  </si>
  <si>
    <t xml:space="preserve">              Актуальність проблем дитинства для перспективи розвитку держави разом із завданням посилення результативності позитивних процесів у цій сфері обумовлюють необхідність вироблення якісно нового підходу щодо забезпечення дітям громади повноцінного розвитку відповідно до їх потреб, тісної взаємодії та співпраці органів і служб у справах дітей та суб’єктів соціальної роботи. Програма визначає мету, основні завдання та заходи, спрямовані на створення умов для забезпечення належного соціального захисту дітей та сімей з дітьми, утвердження в суспільстві сімейних цінностей, підвищення рівня відповідального батьківства. 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t>
  </si>
  <si>
    <t>Додаток № 9</t>
  </si>
  <si>
    <t>Додаток № 10</t>
  </si>
  <si>
    <t>Додаток № 11</t>
  </si>
  <si>
    <t>Додаток № 12</t>
  </si>
  <si>
    <t>Додаток № 13</t>
  </si>
  <si>
    <t>Додаток № 14</t>
  </si>
  <si>
    <t>Додаток № 17</t>
  </si>
  <si>
    <t>Додаток № 18</t>
  </si>
  <si>
    <t>Додаток № 19</t>
  </si>
  <si>
    <t>Додаток № 22</t>
  </si>
  <si>
    <t>Додаток № 24</t>
  </si>
  <si>
    <t>Додаток № 25</t>
  </si>
  <si>
    <t>Програма виконана  в межах потреби.</t>
  </si>
  <si>
    <t xml:space="preserve">      Виконання Програми дає змогу забезпечити доведення сигналів, повідомлень про загрозу або виникнення надзвичайних ситуацій, аварій, катастроф, епідемій, пожеж тощо до підприємств, установ, організацій та населення з урахуванням новітніх інформаційно-телекомунікаційних технологій та змін, що відбулися у суспільстві.</t>
  </si>
  <si>
    <t>Додаток № 27</t>
  </si>
  <si>
    <t>Додаток № 28</t>
  </si>
  <si>
    <t>Додаток № 30</t>
  </si>
  <si>
    <t>Додаток № 31</t>
  </si>
  <si>
    <t>Додаток № 32</t>
  </si>
  <si>
    <t>Всього по КПК 112152</t>
  </si>
  <si>
    <t>Всього по КПК 112151</t>
  </si>
  <si>
    <t>«Організація харчування пільгових категорій учнів у закладах загальної середньої освіти Петрівської сільської ради на 2023 рік»</t>
  </si>
  <si>
    <t>«Підтримка та розвиток освітніх закладів у Петрівській сільській територіальній громаді на 2023 рік»</t>
  </si>
  <si>
    <t>«Розвиток культури в Петрівській сільській територіальній громаді на 2023 рік»</t>
  </si>
  <si>
    <t>«Організація та проведення у Петрівській сільській територіальній громаді загальнодержавних та  загальносільських свят і заходів на 2023 рік»</t>
  </si>
  <si>
    <t>«Розвиток комунального некомерційного підприємства «Центр первинної медико-санітарної допомоги» Петрівської сільської ради на 2023 рік»</t>
  </si>
  <si>
    <t>«Медичне забезпечення пільгових та соціально незахищених верств населення Петрівської сільської територіальної громади на 2023 рік»</t>
  </si>
  <si>
    <t>відшкодування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t>
  </si>
  <si>
    <t>"Соціальне забезпечення та соціальний захист населення Петрівської сільської територіальної громади "Турбота" на 2023 рік</t>
  </si>
  <si>
    <t xml:space="preserve">від  року № </t>
  </si>
  <si>
    <t>Надання одноразової матеріальної допомоги  учасникам добровільчого формування Петрівської сільської територіальної громади № 1 (згідно   списку).</t>
  </si>
  <si>
    <t>«Підтримки осіб, які підписали контракт з добровольчим формуванням Петрівської територіальної громади № 1 Вишгородського району Київської області на 2023 рік»</t>
  </si>
  <si>
    <t>Метою Програми є матеріальне відмічення членів ДФТГ за особисті заслуги, виявлені у зміцненні обороноздатності та безпеки України, захисті населення громади, бездоганне виконання службово-оборонних завдань, боротьби з диверсійними розвідувальними групами та незаконними збройними формуваннями, забезпечення законності, прав та свобод громадян, підтримання безпеки та правопорядку на території Петрівської сільської територіальної громади.</t>
  </si>
  <si>
    <t>Обсяг витрат на надання матеріальної допомоги</t>
  </si>
  <si>
    <t>«Відшкодування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2023 рік»</t>
  </si>
  <si>
    <t xml:space="preserve">відшкодування вартості встановлення телефону та знижки на абонентську плату за користування телефоном </t>
  </si>
  <si>
    <t xml:space="preserve">У 2023 році фактичні видатки на програму склали </t>
  </si>
  <si>
    <t xml:space="preserve">«Соціальний захист фізичних осіб, які надають соціальні послуги з догляду на непрофесійній основі на території Петрівської сільської територіальної громади на 2023 рік»
</t>
  </si>
  <si>
    <t>Метою Програми є забезпечення виконання завдань щодо соціального захисту населення та соціальної підтримки осіб, які потребують сторонньої допомоги шляхом надання якісних соціальних послуг, підвищення рівня зайнятості непрацюючих фізичних осіб на території Петрівської сільської  територіальної громади.</t>
  </si>
  <si>
    <t>Обсяг витрат на надання компенсації</t>
  </si>
  <si>
    <t xml:space="preserve">У 2023 році фактичні видатки на Програму склали : </t>
  </si>
  <si>
    <t xml:space="preserve">Найважливішими компонентами розвитку особистості дитини є її фізичне, психічне та духовне здоров’я, стан якого визначається впливом на нього усього комплексу соціально-економічних, екологічних і духовних факторів. У контексті формування гармонійно розвиненої особистості постає питання створення умов для збереження здоров’я дітей, їх всебічного розвитку, навчання і виховання. Одним із основних факторів впливу на здоров’я дітей є забезпечення їх повноцінним і раціональним харчуванням. Державою гарантується забезпечення харчування учнів, тому організація харчування дітей у закладах освіти належить до пріоритетних завдань місцевої влади.  Розробка Програми обумовлена необхідністю створення умов для організації повноцінного і якісного харчування пільгових категорій дітей.                                                                                                                                                             На території громади функціонує 5 закладів загальної середньої освіти, у яких навчається 2129 учнів. Відповідно до п. 4 абз. 3 статті 5 Закону України «Про охорону дитинства», органи місцевого самоврядування відповідно  до їх компетенції,  забезпечують організацію безкоштовного харчування для:
дітей-сиріт;
дітей, позбавлених батьківського піклування; 
дітей з особливими освітніми потребами, які навчаються у спеціальних і інклюзивних класах; 
учнів 1-4 класів;                                                                                                                                                          
</t>
  </si>
  <si>
    <t>Петрівський ліцей</t>
  </si>
  <si>
    <t xml:space="preserve">          У зв'язку з військовою агресією російської федерації та введенням військового стану на території України та за для збереження здоров'я і життя дітей,  шкільні заклади громади вимушені перейти на дистанційну форму навчання.  Як наслідок  програму харчування дітей виконано лише на 75,9  відсотків від запланованих видатків на 2023 рік. </t>
  </si>
  <si>
    <t xml:space="preserve">Програма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2023 рік (далі – Програма) направлена на забезпечення відшкодування компенсацій за надання пільг з послуг зв’язку (щомісячна абонентська плата або встановлення телефону) та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На обліку в Єдиному державному автоматизованому реєстрі осіб, які мають право на пільги перебуває 1186 осіб, які мають на право пільги згідно з чинним законодавством, в тому числі: особи з інвалідністю внаслідок війни – 88 осіб, учасники бойових дій – 240 осіб, учасники війни -32 особи, члени сім’ї загиблого (померлого) ветерана війни - 44 особи,  ветерани військової служби, ветерани органів внутрішніх справ 63 особи, особи, які постраждали внаслідок Чорнобильської катастрофи (1 категорія та категорія 2 - ліквідатори) – 541 осіб, багатодітні сім’ї – 72, особи та діти з багатодітних родин – 106 осіб. </t>
  </si>
  <si>
    <r>
      <rPr>
        <sz val="12"/>
        <color theme="1"/>
        <rFont val="Calibri"/>
        <family val="2"/>
        <charset val="204"/>
      </rPr>
      <t xml:space="preserve">Інваліди війни- </t>
    </r>
    <r>
      <rPr>
        <b/>
        <sz val="12"/>
        <color theme="1"/>
        <rFont val="Calibri"/>
        <family val="2"/>
        <charset val="204"/>
      </rPr>
      <t>8 осіб</t>
    </r>
    <r>
      <rPr>
        <sz val="12"/>
        <color theme="1"/>
        <rFont val="Calibri"/>
        <family val="2"/>
        <charset val="204"/>
      </rPr>
      <t>,ветерани військової служби-</t>
    </r>
    <r>
      <rPr>
        <b/>
        <sz val="12"/>
        <color theme="1"/>
        <rFont val="Calibri"/>
        <family val="2"/>
        <charset val="204"/>
      </rPr>
      <t>4 осіб</t>
    </r>
    <r>
      <rPr>
        <sz val="12"/>
        <color theme="1"/>
        <rFont val="Calibri"/>
        <family val="2"/>
        <charset val="204"/>
      </rPr>
      <t xml:space="preserve">,члени сім'ї загиблого(померлого)ветерани війни,УБД- </t>
    </r>
    <r>
      <rPr>
        <b/>
        <sz val="12"/>
        <color theme="1"/>
        <rFont val="Calibri"/>
        <family val="2"/>
        <charset val="204"/>
      </rPr>
      <t>5 осіб,</t>
    </r>
    <r>
      <rPr>
        <sz val="12"/>
        <color theme="1"/>
        <rFont val="Calibri"/>
        <family val="2"/>
        <charset val="204"/>
      </rPr>
      <t>постраждалі внаслок аварії на ЧАЕС-</t>
    </r>
    <r>
      <rPr>
        <b/>
        <sz val="12"/>
        <color theme="1"/>
        <rFont val="Calibri"/>
        <family val="2"/>
        <charset val="204"/>
      </rPr>
      <t>53 осіб,</t>
    </r>
    <r>
      <rPr>
        <sz val="12"/>
        <color theme="1"/>
        <rFont val="Calibri"/>
        <family val="2"/>
        <charset val="204"/>
      </rPr>
      <t>учасники бойових дій-</t>
    </r>
    <r>
      <rPr>
        <b/>
        <sz val="12"/>
        <color theme="1"/>
        <rFont val="Calibri"/>
        <family val="2"/>
        <charset val="204"/>
      </rPr>
      <t>15 осіб. Всього:85 осіб</t>
    </r>
  </si>
  <si>
    <t>«Забезпечення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2023 рік»</t>
  </si>
  <si>
    <t>Виконання Програми : уростомні мішки-380 шт. (23 560,00 грн.); калоприймачі (пластини)-1 095 шт. (76 650,00 грн.); калоприймачі (мішки) - 750 шт. (38 250,00 грн.);прокладки урологічні-3 288 шт. (21 372,00 грн.); підгузки дорослі-8 070 шт. (200 310,00 грн.); підгузки дитячі-750 шт. (10 125, 00 грн.).Програма виконана майже в повному обсязі. Економію коштів в сумі 133,00 гривень повернуто   в бюджет.</t>
  </si>
  <si>
    <t xml:space="preserve">          Програма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2022 рік (далі – Програма) розроблена на підставі  статей 26, 59 Закону України «Про місцеве самоврядування в Україні», статті 18 Закону України «Основи законодавства України про охорону здоров’я», Закону України «Про основи соціальної захищеності осіб з інвалідністю в Україні», постанови Кабінету Міністрів України від 03.12.2009 № 1301 «Про затвердження Порядку забезпечення інвалідів і дітей-інвалідів технічними та іншими засобами», наказу Міністерства охорони здоров’я України від 12.02.2013 № 109 «Про затвердження форм первинної облікової документації та звітності з питань забезпечення інвалідів і дітей-інвалідів технічними та іншими засобами та інструкцій щодо їх заповнення».                             Кількість осіб Петрівської сільської територіальної громади, що потребують забезпечення технічними та спеціальними засобами у 2022 році складає 13 осіб, прогнозована необхідність:
Калоприймачі потребує  –  1 особа;
Підгузки (памперси)  –  9 осіб;                                                                                                                                                                                                                                                                                                                                                                                                                                                                                      Уростопна пластина – 2 особи;
Урологічні прокладки  –  3 особи;
Сечоприймач – 1 особа. 
Регулярне, відповідно до потреби, забезпечення технічними засобами осіб з інвалідністю та дітей з інвалідністю сприятиме їх соціальній адаптації, інтеграції та покращенню якості життя. Програмою було заплановано обсяг видатків на 2023 рік в сумі 332 150,00 гривень
</t>
  </si>
  <si>
    <t>Видатки на  2023 рік становлять:</t>
  </si>
  <si>
    <t>Програму «Розвиток культури в Петрівській сільській територіальній громаді на 2023 рік» (далі – Програма) розроблено з метою забезпечення належного функціонування закладів культури громади та проведення культурно-мистецьких заходів. В громаді збережена мережа установ культури, кадровий потенціал галузі. Для забезпечення культурного обслуговування населення громади на сучасному рівні, заклади культури потребують подальшого розвитку, що зумовлює необхідність прийняття відповідної Програми. Виконання її можливе за умови підтримки і координації діяльності всіх закладів культури з органами місцевого самоврядування. Програма визначає мету і основні завдання для збереження та всебічного розвитку культури.</t>
  </si>
  <si>
    <t>послуги  обслуговування заходу</t>
  </si>
  <si>
    <t>Предмети, матеріали, обладнання та інвентар</t>
  </si>
  <si>
    <t>Виконання Програми: буклети - 10 696,00 грн.; медалі, медалі з футляром - 248 338,00 грн.; рамки - 47 800,00 грн.;   квіти - 93 000,00 грн.; листівки вітальні, буклети, дипломи, подяки, грамоти  - 63 255,00 грн.;пакети подарункові - 25 000,00 грн.; банера -2 500,00 грн.;  поролонові долоньки - 13 475,00; державна атрибутика - 70 529,60 грн.;  чашки з логотипом -62 500,00 грн; годинники - 12 000,00 грн.</t>
  </si>
  <si>
    <t xml:space="preserve">від року № </t>
  </si>
  <si>
    <t>від  року №</t>
  </si>
  <si>
    <r>
      <t xml:space="preserve">У 2023 році фактичні видатки на Програму склали : </t>
    </r>
    <r>
      <rPr>
        <b/>
        <sz val="12"/>
        <color theme="1"/>
        <rFont val="Calibri"/>
        <family val="2"/>
        <charset val="204"/>
        <scheme val="minor"/>
      </rPr>
      <t>672 512,60 грн.</t>
    </r>
  </si>
  <si>
    <t xml:space="preserve">Програма «Розвиток фізичної культури та спорту у Петрівській громаді на 2023 рік» (далі – Програма) розроблена відповідно до Конституції України, Бюджетного кодексу України, Закону України «Про місцеве самоврядування в Україні», Закону України «Про фізичну культуру та спорт». Оскільки фізична культура і спорт є важливою складовою частиною виховного процесу дітей і підлітків, учнівської та студентської молоді й відіграють значну роль у зміцнені здоров’я, підвищенні фізичних і функціональних можливостей організму людини, збережені тривалості активного життя дорослого населення. У Програмі визначенні підходи та пріоритетні напрямки фізичного виховання, фізичної культури і спорту, формування, насамперед у молоді, позитивного іміджу спортивно-масової роботи, які б забезпечували ефективне функціонування галузі в сучасних умовах.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
</t>
  </si>
  <si>
    <t>"Розвиток фізичної культури та спорту у Петрівськиій сільській територіальній громаді на 2023 рік"</t>
  </si>
  <si>
    <r>
      <t>спортивні дощовики, спортивна форма, рюкзаки, спортивний інвентар -</t>
    </r>
    <r>
      <rPr>
        <b/>
        <sz val="11"/>
        <color theme="1"/>
        <rFont val="Calibri"/>
        <family val="2"/>
        <charset val="204"/>
        <scheme val="minor"/>
      </rPr>
      <t xml:space="preserve"> 228 339,00 </t>
    </r>
    <r>
      <rPr>
        <sz val="11"/>
        <color theme="1"/>
        <rFont val="Calibri"/>
        <family val="2"/>
        <charset val="204"/>
        <scheme val="minor"/>
      </rPr>
      <t xml:space="preserve">грн.;акамулятор - </t>
    </r>
    <r>
      <rPr>
        <b/>
        <sz val="11"/>
        <color theme="1"/>
        <rFont val="Calibri"/>
        <family val="2"/>
        <charset val="204"/>
        <scheme val="minor"/>
      </rPr>
      <t>28 700,00</t>
    </r>
    <r>
      <rPr>
        <sz val="11"/>
        <color theme="1"/>
        <rFont val="Calibri"/>
        <family val="2"/>
        <charset val="204"/>
        <scheme val="minor"/>
      </rPr>
      <t xml:space="preserve"> грн.; придбання госп. товарів -</t>
    </r>
    <r>
      <rPr>
        <b/>
        <sz val="11"/>
        <color theme="1"/>
        <rFont val="Calibri"/>
        <family val="2"/>
        <charset val="204"/>
        <scheme val="minor"/>
      </rPr>
      <t xml:space="preserve"> 22 918,60</t>
    </r>
    <r>
      <rPr>
        <sz val="11"/>
        <color theme="1"/>
        <rFont val="Calibri"/>
        <family val="2"/>
        <charset val="204"/>
        <scheme val="minor"/>
      </rPr>
      <t xml:space="preserve"> грн.; придб.канцел.приладдя - </t>
    </r>
    <r>
      <rPr>
        <b/>
        <sz val="11"/>
        <color theme="1"/>
        <rFont val="Calibri"/>
        <family val="2"/>
        <charset val="204"/>
        <scheme val="minor"/>
      </rPr>
      <t>7 386,20</t>
    </r>
    <r>
      <rPr>
        <sz val="11"/>
        <color theme="1"/>
        <rFont val="Calibri"/>
        <family val="2"/>
        <charset val="204"/>
        <scheme val="minor"/>
      </rPr>
      <t xml:space="preserve"> грн.; телефон - </t>
    </r>
    <r>
      <rPr>
        <b/>
        <sz val="11"/>
        <color theme="1"/>
        <rFont val="Calibri"/>
        <family val="2"/>
        <charset val="204"/>
        <scheme val="minor"/>
      </rPr>
      <t>8 999,00</t>
    </r>
    <r>
      <rPr>
        <sz val="11"/>
        <color theme="1"/>
        <rFont val="Calibri"/>
        <family val="2"/>
        <charset val="204"/>
        <scheme val="minor"/>
      </rPr>
      <t xml:space="preserve"> грн; силіконова змазка для спортивного інвентарю - </t>
    </r>
    <r>
      <rPr>
        <b/>
        <sz val="11"/>
        <color theme="1"/>
        <rFont val="Calibri"/>
        <family val="2"/>
        <charset val="204"/>
        <scheme val="minor"/>
      </rPr>
      <t xml:space="preserve">1 410,00 </t>
    </r>
    <r>
      <rPr>
        <sz val="11"/>
        <color theme="1"/>
        <rFont val="Calibri"/>
        <family val="2"/>
        <charset val="204"/>
        <scheme val="minor"/>
      </rPr>
      <t xml:space="preserve">грн; інвентар для фітнесу - </t>
    </r>
    <r>
      <rPr>
        <b/>
        <sz val="11"/>
        <color theme="1"/>
        <rFont val="Calibri"/>
        <family val="2"/>
        <charset val="204"/>
        <scheme val="minor"/>
      </rPr>
      <t>21 992,00</t>
    </r>
    <r>
      <rPr>
        <sz val="11"/>
        <color theme="1"/>
        <rFont val="Calibri"/>
        <family val="2"/>
        <charset val="204"/>
        <scheme val="minor"/>
      </rPr>
      <t xml:space="preserve"> грн.; миючі товари - </t>
    </r>
    <r>
      <rPr>
        <b/>
        <sz val="11"/>
        <color theme="1"/>
        <rFont val="Calibri"/>
        <family val="2"/>
        <charset val="204"/>
        <scheme val="minor"/>
      </rPr>
      <t>20 114,70</t>
    </r>
    <r>
      <rPr>
        <sz val="11"/>
        <color theme="1"/>
        <rFont val="Calibri"/>
        <family val="2"/>
        <charset val="204"/>
        <scheme val="minor"/>
      </rPr>
      <t xml:space="preserve"> грн; масляний обігрівач -</t>
    </r>
    <r>
      <rPr>
        <b/>
        <sz val="11"/>
        <color theme="1"/>
        <rFont val="Calibri"/>
        <family val="2"/>
        <charset val="204"/>
        <scheme val="minor"/>
      </rPr>
      <t>3 955,41</t>
    </r>
    <r>
      <rPr>
        <sz val="11"/>
        <color theme="1"/>
        <rFont val="Calibri"/>
        <family val="2"/>
        <charset val="204"/>
        <scheme val="minor"/>
      </rPr>
      <t xml:space="preserve"> грн.; аптечки - </t>
    </r>
    <r>
      <rPr>
        <b/>
        <sz val="11"/>
        <color theme="1"/>
        <rFont val="Calibri"/>
        <family val="2"/>
        <charset val="204"/>
        <scheme val="minor"/>
      </rPr>
      <t>3 774,00</t>
    </r>
    <r>
      <rPr>
        <sz val="11"/>
        <color theme="1"/>
        <rFont val="Calibri"/>
        <family val="2"/>
        <charset val="204"/>
        <scheme val="minor"/>
      </rPr>
      <t xml:space="preserve"> грн; стіл для армрестлінгу - </t>
    </r>
    <r>
      <rPr>
        <b/>
        <sz val="11"/>
        <color theme="1"/>
        <rFont val="Calibri"/>
        <family val="2"/>
        <charset val="204"/>
        <scheme val="minor"/>
      </rPr>
      <t>17 208,00</t>
    </r>
    <r>
      <rPr>
        <sz val="11"/>
        <color theme="1"/>
        <rFont val="Calibri"/>
        <family val="2"/>
        <charset val="204"/>
        <scheme val="minor"/>
      </rPr>
      <t xml:space="preserve"> грн; буклети, подяки, дипломи - </t>
    </r>
    <r>
      <rPr>
        <b/>
        <sz val="11"/>
        <color theme="1"/>
        <rFont val="Calibri"/>
        <family val="2"/>
        <charset val="204"/>
        <scheme val="minor"/>
      </rPr>
      <t>12 410,00</t>
    </r>
    <r>
      <rPr>
        <sz val="11"/>
        <color theme="1"/>
        <rFont val="Calibri"/>
        <family val="2"/>
        <charset val="204"/>
        <scheme val="minor"/>
      </rPr>
      <t xml:space="preserve"> грн.; лампи - </t>
    </r>
    <r>
      <rPr>
        <b/>
        <sz val="11"/>
        <color theme="1"/>
        <rFont val="Calibri"/>
        <family val="2"/>
        <charset val="204"/>
        <scheme val="minor"/>
      </rPr>
      <t>6 288,00</t>
    </r>
    <r>
      <rPr>
        <sz val="11"/>
        <color theme="1"/>
        <rFont val="Calibri"/>
        <family val="2"/>
        <charset val="204"/>
        <scheme val="minor"/>
      </rPr>
      <t xml:space="preserve"> грн.</t>
    </r>
  </si>
  <si>
    <t>Оплата послуг (крім комунальних)</t>
  </si>
  <si>
    <r>
      <t>серв.обслуг.кондиц.-</t>
    </r>
    <r>
      <rPr>
        <b/>
        <sz val="12"/>
        <color theme="1"/>
        <rFont val="Calibri"/>
        <family val="2"/>
        <charset val="204"/>
        <scheme val="minor"/>
      </rPr>
      <t>4 000,00</t>
    </r>
    <r>
      <rPr>
        <sz val="12"/>
        <color theme="1"/>
        <rFont val="Calibri"/>
        <family val="2"/>
        <charset val="204"/>
        <scheme val="minor"/>
      </rPr>
      <t xml:space="preserve"> грн; підг до опал.сезону -</t>
    </r>
    <r>
      <rPr>
        <b/>
        <sz val="12"/>
        <color theme="1"/>
        <rFont val="Calibri"/>
        <family val="2"/>
        <charset val="204"/>
        <scheme val="minor"/>
      </rPr>
      <t>3 000,00</t>
    </r>
    <r>
      <rPr>
        <sz val="12"/>
        <color theme="1"/>
        <rFont val="Calibri"/>
        <family val="2"/>
        <charset val="204"/>
        <scheme val="minor"/>
      </rPr>
      <t xml:space="preserve"> грн.; програмне забезпечення фітнес про- </t>
    </r>
    <r>
      <rPr>
        <b/>
        <sz val="12"/>
        <color theme="1"/>
        <rFont val="Calibri"/>
        <family val="2"/>
        <charset val="204"/>
        <scheme val="minor"/>
      </rPr>
      <t>12 799,95</t>
    </r>
    <r>
      <rPr>
        <sz val="12"/>
        <color theme="1"/>
        <rFont val="Calibri"/>
        <family val="2"/>
        <charset val="204"/>
        <scheme val="minor"/>
      </rPr>
      <t xml:space="preserve"> грн.; посл.опов.про пожежу,спост.центр.сигн -</t>
    </r>
    <r>
      <rPr>
        <b/>
        <sz val="12"/>
        <color theme="1"/>
        <rFont val="Calibri"/>
        <family val="2"/>
        <charset val="204"/>
        <scheme val="minor"/>
      </rPr>
      <t xml:space="preserve"> 8 400,00</t>
    </r>
    <r>
      <rPr>
        <sz val="12"/>
        <color theme="1"/>
        <rFont val="Calibri"/>
        <family val="2"/>
        <charset val="204"/>
        <scheme val="minor"/>
      </rPr>
      <t xml:space="preserve"> грн; перезарядка вогенгасників - </t>
    </r>
    <r>
      <rPr>
        <b/>
        <sz val="12"/>
        <color theme="1"/>
        <rFont val="Calibri"/>
        <family val="2"/>
        <charset val="204"/>
        <scheme val="minor"/>
      </rPr>
      <t>931,20</t>
    </r>
    <r>
      <rPr>
        <sz val="12"/>
        <color theme="1"/>
        <rFont val="Calibri"/>
        <family val="2"/>
        <charset val="204"/>
        <scheme val="minor"/>
      </rPr>
      <t xml:space="preserve"> грн.; заправка катриджів - </t>
    </r>
    <r>
      <rPr>
        <b/>
        <sz val="12"/>
        <color theme="1"/>
        <rFont val="Calibri"/>
        <family val="2"/>
        <charset val="204"/>
        <scheme val="minor"/>
      </rPr>
      <t>2 496,00</t>
    </r>
    <r>
      <rPr>
        <sz val="12"/>
        <color theme="1"/>
        <rFont val="Calibri"/>
        <family val="2"/>
        <charset val="204"/>
        <scheme val="minor"/>
      </rPr>
      <t xml:space="preserve"> грн. грн.;послуги технічного обслуговування систем ПС та оповіщення про пожежу - </t>
    </r>
    <r>
      <rPr>
        <b/>
        <sz val="12"/>
        <color theme="1"/>
        <rFont val="Calibri"/>
        <family val="2"/>
        <charset val="204"/>
        <scheme val="minor"/>
      </rPr>
      <t>10 200,00</t>
    </r>
    <r>
      <rPr>
        <sz val="12"/>
        <color theme="1"/>
        <rFont val="Calibri"/>
        <family val="2"/>
        <charset val="204"/>
        <scheme val="minor"/>
      </rPr>
      <t xml:space="preserve"> грн.; інтнрнет - </t>
    </r>
    <r>
      <rPr>
        <b/>
        <sz val="12"/>
        <color theme="1"/>
        <rFont val="Calibri"/>
        <family val="2"/>
        <charset val="204"/>
        <scheme val="minor"/>
      </rPr>
      <t>12 600,00</t>
    </r>
    <r>
      <rPr>
        <sz val="12"/>
        <color theme="1"/>
        <rFont val="Calibri"/>
        <family val="2"/>
        <charset val="204"/>
        <scheme val="minor"/>
      </rPr>
      <t xml:space="preserve"> грн.; дослідження небезпечних та шкідливих факторів робочого місця - </t>
    </r>
    <r>
      <rPr>
        <b/>
        <sz val="12"/>
        <color theme="1"/>
        <rFont val="Calibri"/>
        <family val="2"/>
        <charset val="204"/>
        <scheme val="minor"/>
      </rPr>
      <t>11 069,82</t>
    </r>
    <r>
      <rPr>
        <sz val="12"/>
        <color theme="1"/>
        <rFont val="Calibri"/>
        <family val="2"/>
        <charset val="204"/>
        <scheme val="minor"/>
      </rPr>
      <t xml:space="preserve"> грн.; автоперевезення - </t>
    </r>
    <r>
      <rPr>
        <b/>
        <sz val="12"/>
        <color theme="1"/>
        <rFont val="Calibri"/>
        <family val="2"/>
        <charset val="204"/>
        <scheme val="minor"/>
      </rPr>
      <t xml:space="preserve">58 500,00 </t>
    </r>
    <r>
      <rPr>
        <sz val="12"/>
        <color theme="1"/>
        <rFont val="Calibri"/>
        <family val="2"/>
        <charset val="204"/>
        <scheme val="minor"/>
      </rPr>
      <t>грн.</t>
    </r>
  </si>
  <si>
    <t>придбання обладнення і предметів довгострокового користування</t>
  </si>
  <si>
    <r>
      <rPr>
        <b/>
        <sz val="11"/>
        <color theme="1"/>
        <rFont val="Calibri"/>
        <family val="2"/>
        <charset val="204"/>
        <scheme val="minor"/>
      </rPr>
      <t>25 000,00</t>
    </r>
    <r>
      <rPr>
        <sz val="11"/>
        <color theme="1"/>
        <rFont val="Calibri"/>
        <family val="2"/>
        <charset val="204"/>
        <scheme val="minor"/>
      </rPr>
      <t xml:space="preserve"> грн. - придбання моноблока; </t>
    </r>
    <r>
      <rPr>
        <b/>
        <sz val="11"/>
        <color theme="1"/>
        <rFont val="Calibri"/>
        <family val="2"/>
        <charset val="204"/>
        <scheme val="minor"/>
      </rPr>
      <t>92 600,00</t>
    </r>
    <r>
      <rPr>
        <sz val="11"/>
        <color theme="1"/>
        <rFont val="Calibri"/>
        <family val="2"/>
        <charset val="204"/>
        <scheme val="minor"/>
      </rPr>
      <t xml:space="preserve"> грн. - бігова доріжка; </t>
    </r>
    <r>
      <rPr>
        <b/>
        <sz val="11"/>
        <color theme="1"/>
        <rFont val="Calibri"/>
        <family val="2"/>
        <charset val="204"/>
        <scheme val="minor"/>
      </rPr>
      <t>62 419,00</t>
    </r>
    <r>
      <rPr>
        <sz val="11"/>
        <color theme="1"/>
        <rFont val="Calibri"/>
        <family val="2"/>
        <charset val="204"/>
        <scheme val="minor"/>
      </rPr>
      <t xml:space="preserve"> грн. - гребний тренажер</t>
    </r>
  </si>
  <si>
    <t xml:space="preserve">«Підтримка та розвиток молоді Петрівської сільської територіальної громади на 2023 рік»
</t>
  </si>
  <si>
    <t xml:space="preserve">Метою Програми є створення системи правових та соціально-економічних умов для ефективної соціалізації та самореалізації молоді, забезпечення всебічної підтримки та розвитку її громадської активності, реалізації інтелектуального, фізичного, творчого потенціалу молоді, формування патріота і громадянина.
Основними завданнями Програми є:
- сприяння самореалізації та всебічному розвитку молоді, заохочення її до реалізації поставленої мети, спонукання до прозорості діяльності молодіжних об'єднань;
- підвищення рівня відповідальності при реалізації молодіжної політики, сприяння співпраці молоді з органами виконавчої влади, підтримка молодіжних ініціатив;
- сприяння розвитку органів учнівського самоврядування у навчальних закладах міста;
- залучення студентства до безпосередньої участі у реалізації молодіжної політики та розбудові громадянського суспільства;
- утвердження патріотичної свідомості та активної громадянської позиції молоді, виховання у молоді почуття особистої та національної гідності, популяризація національної культури;
- формування у молоді бережливого ставлення до природного, соціального, культурного та предметно-побутового довкілля;
- створення умов для творчого розвитку особистості, інтелектуального самовдосконалення молоді, підтримка творчих ініціатив молоді та активностей у різних сферах життєдіяльності суспільства;
- сприяння працевлаштуванню та зайнятості молоді шляхом впровадження системи профорієнтації, створення умов для вторинної зайнятості молоді, забезпечення молоді першим робочим місцем, розширення інформаційного поля стосовно існуючих професій та попиту на них;
 - сприяння розвитку молодіжного підприємництва, самозайнятості та ефективного просування молодих людей у підприємницькому середовищі;
- розширення соціальних можливостей молоді через розвиток та популяризацію волонтерського руху як форми залучення молоді до суспільно значущої діяльності, способу неформальної освіти і вторинної зайнятості;        
- активізація зусиль, направлених на покращення здоров’я молоді, усвідомлення цінності здоров’я, відповідальності за його збереження шляхом залучення молоді до занять спортом;
- впровадження нових форм організації змістовного дозвілля молоді у сфері пропаганди здорового способу життя та запобігання негативних проявів у молодіжному середовищі.
</t>
  </si>
  <si>
    <r>
      <t xml:space="preserve">придбання канцелярського приладдя - </t>
    </r>
    <r>
      <rPr>
        <b/>
        <sz val="12"/>
        <color theme="1"/>
        <rFont val="Calibri"/>
        <family val="2"/>
        <charset val="204"/>
        <scheme val="minor"/>
      </rPr>
      <t>7 469,82</t>
    </r>
    <r>
      <rPr>
        <sz val="12"/>
        <color theme="1"/>
        <rFont val="Calibri"/>
        <family val="2"/>
        <charset val="204"/>
        <scheme val="minor"/>
      </rPr>
      <t xml:space="preserve"> грн.</t>
    </r>
  </si>
  <si>
    <r>
      <rPr>
        <b/>
        <sz val="11"/>
        <color theme="1"/>
        <rFont val="Calibri"/>
        <family val="2"/>
        <charset val="204"/>
        <scheme val="minor"/>
      </rPr>
      <t>570,00</t>
    </r>
    <r>
      <rPr>
        <sz val="11"/>
        <color theme="1"/>
        <rFont val="Calibri"/>
        <family val="2"/>
        <charset val="204"/>
        <scheme val="minor"/>
      </rPr>
      <t xml:space="preserve"> грн. - заправка катриджів;  дослідження небезпечних та шкідливих факторів робочого місця - </t>
    </r>
    <r>
      <rPr>
        <b/>
        <sz val="11"/>
        <color theme="1"/>
        <rFont val="Calibri"/>
        <family val="2"/>
        <charset val="204"/>
        <scheme val="minor"/>
      </rPr>
      <t>922,48</t>
    </r>
    <r>
      <rPr>
        <sz val="11"/>
        <color theme="1"/>
        <rFont val="Calibri"/>
        <family val="2"/>
        <charset val="204"/>
        <scheme val="minor"/>
      </rPr>
      <t xml:space="preserve"> грн.</t>
    </r>
  </si>
  <si>
    <t xml:space="preserve">від   року № </t>
  </si>
  <si>
    <r>
      <rPr>
        <b/>
        <sz val="12"/>
        <color theme="1"/>
        <rFont val="Calibri"/>
        <family val="2"/>
        <charset val="204"/>
        <scheme val="minor"/>
      </rPr>
      <t>КПКВ 0111080 Надання спеціалізованої освіти мистецькими школами</t>
    </r>
    <r>
      <rPr>
        <sz val="12"/>
        <color theme="1"/>
        <rFont val="Calibri"/>
        <family val="2"/>
        <charset val="204"/>
        <scheme val="minor"/>
      </rPr>
      <t xml:space="preserve">: 9 000,00грн. біотуалет; </t>
    </r>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2 720,00грн - реєстраційні журнали; 11 508,39 грн.- підписка на періодичні видання; 6 776,36 грн. - придб. господарчих товарів; 9 362,64 грн. - канцелярські товари; 446,98 грн. -флешки; 476,10грн. - миючі засоби; 14 387,00 грн. - прінтер (БФП); 19 500,00 грн. - ноутбук; 1 698,00 грн. - електрочайники (2шт.); 2 311,20 грн. - лампочки;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закупівля води бутильованої - 7 120,00 грн.; кран - 1 351,60 грн., бачок зливний - 1 600,00 грн.; 1 260,00 грн. - державна атрибутика; 10 786,00 грн. - придбання господарчих товарів; 13 002,35 грн. - канцелярське приладдя; 2 585,99 грн. - інформаційні куточки (стенди); 728,00 грн - флешки; 37 260,00 грн. стільці (50шт); 952,20 грн. - миючі засоби; 21 600,00 грн - мати татамі; 27 840,00 - дивани (5шт); 29 514,00 грн. - акустичні радіосистеми (2 шт); 14 387,00 грн. - прінтер БФП; 10 140,00 грн. - дзеркала підлогові (3шт); 277,99 грн. - помпа механічна; 2 899,10 - балон газовий; 1 998,00 грн. -дошка для прасування; 3 624,10 грн. - ліхтарі ( 6шт); 3 779,93 - тримачі для одягу; 4 597,99грн. - праски (2шт); 1 914,00 грн.- лампи електричні; 58 722,00грн. - ролети, жалюзі;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вода бутильована  - 10 800,00 грн., придбання матеріалів для ремонту госп.способом -19 779,17 грн.;1 005,98 грн. - флешки; диз паливо - 38 354,25 грн.; бензин - 40 142,70 грн.; авансові звіти - 43 508,88 грн.; мікрофон - 12 600,00 грн.; жалюзі - 9 300,00 грн.; дзеркала - 25 986,00 грн.; інформаційні куточки (стенди) - 1 723,99 грн.; придб. госп. товарів - 10 830,48 грн.; придбання канц. приладдя - 35 736,51 грн.; миючі засоби - 4 774,20 грн.; лавки гімнастичні - 7 680,00 грн. (2шт); радіосистема, мікрофон - 39 597,79 грн.; акумуляторні батареї, зарядний пристрій - 7 640,96 грн; прінтер БФП (2шт) - 28 774,02 грн.; електроне інформаційне видання - 6 816,00 грн.; дивани (9шт) - 52 000,00 грн.; комутотор -2 500,00 грн; камера для відеонагляду - 12 520,00 грн; жорсткий диск - 4 380,00 грн.; станок хореографічний (3шт) - 21 300,00 грн.; рамки для фото - 14 652,00 грн.; нагородна атрибутика - 5 670,00 грн.</t>
    </r>
  </si>
  <si>
    <r>
      <rPr>
        <b/>
        <sz val="12"/>
        <color theme="1"/>
        <rFont val="Calibri"/>
        <family val="2"/>
        <charset val="204"/>
        <scheme val="minor"/>
      </rPr>
      <t>КПКВ 0111080 Надання спеціалізованої освіти мистецькими школами</t>
    </r>
    <r>
      <rPr>
        <sz val="12"/>
        <color theme="1"/>
        <rFont val="Calibri"/>
        <family val="2"/>
        <charset val="204"/>
        <scheme val="minor"/>
      </rPr>
      <t xml:space="preserve">: 5 065,47грн. обслуговування систем газопостачання, телефон, інтернет; </t>
    </r>
    <r>
      <rPr>
        <b/>
        <sz val="12"/>
        <color theme="1"/>
        <rFont val="Calibri"/>
        <family val="2"/>
        <charset val="204"/>
        <scheme val="minor"/>
      </rPr>
      <t>КПКВ 0114030 Забезпечення діяльності бібліотек</t>
    </r>
    <r>
      <rPr>
        <sz val="12"/>
        <color theme="1"/>
        <rFont val="Calibri"/>
        <family val="2"/>
        <charset val="204"/>
        <scheme val="minor"/>
      </rPr>
      <t>: 3 680,00 грн.- заправка катриджів; 315,60 грн. - перезарядка вогнегасників; 160,00 грн. - послуги по передоплаті; 2 652,13 грн. - дослідження небезпечних та шкідливих факторів робочого місця;</t>
    </r>
    <r>
      <rPr>
        <b/>
        <sz val="12"/>
        <color theme="1"/>
        <rFont val="Calibri"/>
        <family val="2"/>
        <charset val="204"/>
        <scheme val="minor"/>
      </rPr>
      <t xml:space="preserve"> 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автоперевезення - 15 200,00 грн.; послуги спостереження за спрацюванням пожежної сигналізації - 17 980,00 грн.; послуги центрального спостереження за роботою сигналізацівї - 6 000,00 грн.; послуги технічного обслуговування систем ПС та оповіщення про пожежу - 10 200,00 грн.; інтнрнет - 6 480,00 грн.; 12 000,00 - послуги по підготовці до опалювального сезону; 12 914,80 грн. - дослідження небезпечних та шкідливих факторів робочого місця; 1 586,00 грн. - перезарядка вогнегасників; послуги з поточного ремонту віконних блоків та приміщень 104 219,84 грн.; 10 020,00грн. - заправка катриджів; 68 202,00грн. - послуги з поточного ремонту свердловини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оренда автобуса - 180 000,00 грн.; послуги з підгот. до оплал.сезону - 39 690,00 грн.; перезарядка вогнег.- 1 723,20 грн.; заправка катриджа - 13 130,00 грн., доступ до онлайн сервісів - 2 480,00 грн., інтернет - 9 360,00 грн.; телефон - 11 088,05 грн.; послуги програмного забезпечення - 17 300,00 грн.; обслуговування систем газопостачання - 6 210,36 грн; обслуговування системи блискавкозахисту - 5 000,00 грн.; відновлення системи блискавкозахисту - 29 973,85 грн; послуги у сфері інформатизації - 6 000,00 грн; програма Медок - 4 959,00 грн; витрати у відряджені -1 885,10 грн.; дослідження небезпечних та шкідливих факторів робочого місця - 14 067,88 грн.</t>
    </r>
  </si>
  <si>
    <t>Програма реалізована  в межах загального обсягу видатків, виділених місцевим бюджетом громади на цю галузь на 2023 рік.</t>
  </si>
  <si>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25 000грн. придбання моноблока ;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25 000грн. придбання моноблока;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75 000,00 грн. - кондиціонер; 45 507,00 грн. - сценічне взуття.</t>
    </r>
  </si>
  <si>
    <t xml:space="preserve">від   року №  </t>
  </si>
  <si>
    <t>Актуальність Програми розвитку комунального некомерційного підприємства «Центр первинної медико-санітарної допомоги» Петрівської сільської ради на 2023 рік (далі – Програма) продиктована необхідністю поліпшення якості надання та доступності медичної допомоги населенню Петрівської сільської територіальної громади - технічної бази Центру, підвищення престижу праці медичних працівників первинної ланки з надання медичної допомоги, покращення їх соціального та економічного становища. Вона зумовлена, в першу чергу, необхідністю забезпечення первинної ланки медико-санітарної допомоги лікарями загальної практики – сімейними лікарями, педіатрами та терапевтами, необхідністю поліпшення стану здоров’я населення шляхом забезпечення доступу до кваліфікованої первинної медико-санітарної допомоги, орієнтованої на інтегрований підхід до рішення медико-санітарних потреб окремих громадян, родин та громади в цілому. На сьогодні система охорони здоров’я у Петрівській сільській територіальній громаді, як і в Україні в цілому, характеризується: низьким рівнем тривалості життя людей; від’ємним природним приростом населення; низьким рівнем здоров’я мешканців; зростанням та поширеністю інфекційної захворюваності; недостатнім розвитком інституту сімейної медицини; пріоритетністю розвитку вторинної медичної допомоги; відсутністю взаємодії між первинною і вторинною ланками надання медичної допомоги, а також невідкладною медичною допомогою.                                                                                                                                   Для якісного виконання завдань комунальне некомерційне підприємство «Центр первинної медико-санітарної допомоги» Петрівської сільської ради (далі – Центр) потребує фінансування з бюджету Петрівської сільської територіальої громади. Центр здатний забезпечити поліпшення стану здоров’я всіх верств населення, що призведе до зниження рівня захворюваності, інвалідності, смертності, продовження активного довголіття і тривалості життя.</t>
  </si>
  <si>
    <t>інші енергоносії (дрова, брикети, бензин для генераторів)</t>
  </si>
  <si>
    <t>предмети, матеріали, обладнання та інвентар</t>
  </si>
  <si>
    <t xml:space="preserve">Програма виконана в межах запланованих видатків на 2023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</si>
  <si>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r>
      <t>Програма «Медичне забезпечення пільгових та соціально незахищених верств населення Петрівської сільської територіальної громади на 2023 рік</t>
    </r>
    <r>
      <rPr>
        <sz val="12"/>
        <color theme="1"/>
        <rFont val="Calibri"/>
        <family val="2"/>
        <charset val="204"/>
        <scheme val="minor"/>
      </rPr>
      <t xml:space="preserve">»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Категорії населення, перелік захворювань, у разі амбулаторного лікування яких лікарські засоби за рецептами лікарів відпускаються на пільгових умовах, визначені законами України «Про основи соціальної захищеності осіб з інвалідністю  в Україні», «Про статус ветеранів війни, гарантії їх соціального захисту», постановою Кабінету Міністрів України від 17.08.1998 № 1303 «Про впорядкування безоплатного та пільгового відпуску лікарських засобів у разі амбулаторного лікування окремих груп населення».
Також надзвичайно актуальними є питання соціально-медичного забезпечення ветеранів війни, що зумовлено як загальними демографічними процесами та характеристиками здоров’я окремих вікових груп, так і ситуацією в країні, збільшенням кількості учасників бойових дій, які мають право на пільгове медичне забезпечення. 
</t>
    </r>
  </si>
  <si>
    <t>Одноразова матеріальна допомога на лікування по життєво- важливим показникам онкохворим ,тяжкохворим громадянам ,особам з інвалідністю  які потребують лікування та учасникам бойових дій які захищали незалежність,суверенітет та територіальну цілісність України,які потребують лікування травми,поранення для ветеранів війни отриманих у зоні бойових дій (за умови реєстрації місця проживання та фактичного проживання на території Петрівської територіальної громади)</t>
  </si>
  <si>
    <t xml:space="preserve">Одноразова матеріальна допомога  погорільцям (за умови реєстрації місця проживання та фактичного проживання на території Петрівської сільської ради )(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територіальної громади) </t>
  </si>
  <si>
    <t>Надання одноразової  матеріальної допомоги на поховання особи, яка не досягла пенсійного віку та на момент смерті не працювала, не перебувала на службі,не зареєстрована у центрі зайнятості як безробітна, виконавцю волевиявлення померлого або особі, яка зобов'язалась поховати померлого</t>
  </si>
  <si>
    <t>Надання одноразової матеріальної допомоги на поховання членам сімей загиблих учасникам бойових дій в Афганістані, ветеранам війни-учасникам бойових дій у Другій світовій війні, учасникам бойових дій, які захищали незалежність, суверенітет та територіальну цілісність України,учасникам Революції Гідності,учасникам АТО, (за умови реєстрації місця проживання та фактичного проживання на території Петрівської сільської ради не менше 1 року)</t>
  </si>
  <si>
    <t>Надання одноразової матеріальної допомоги членам сімей загиблих  на встановлення пам’ятників загиблим учасникам  Революції Гідності,учасникам АТО,учасникам бойових дій, які захищали незалежність, суверенітет та територіальну цілісність України  які поховані на  території Петрівської сільської територіальної громади</t>
  </si>
  <si>
    <t>«Забезпечення прав дітей та розвитку сімейних форм виховання                                                                                                                                                  "Щаслива дитина-успішна громада на 2023 рік»</t>
  </si>
  <si>
    <t>Інформування населення з питань соціальних проблем, шляхи їх вирішення, шляхи їх подолання, розвитку сімейних форм виховання (буклети, листівки, тощо)</t>
  </si>
  <si>
    <t>Захід до Дня усиновлення "Коли посміхається дитина - посміхається небо"</t>
  </si>
  <si>
    <t>Захід до Всесвітнього дня дитини</t>
  </si>
  <si>
    <t xml:space="preserve">від  року №  </t>
  </si>
  <si>
    <r>
      <t>Газонокосилка-</t>
    </r>
    <r>
      <rPr>
        <b/>
        <sz val="12"/>
        <color theme="1"/>
        <rFont val="Calibri"/>
        <family val="2"/>
        <charset val="204"/>
        <scheme val="minor"/>
      </rPr>
      <t>14 499,00 грн</t>
    </r>
    <r>
      <rPr>
        <sz val="12"/>
        <color theme="1"/>
        <rFont val="Calibri"/>
        <family val="2"/>
        <charset val="204"/>
        <scheme val="minor"/>
      </rPr>
      <t xml:space="preserve">.; Бензин </t>
    </r>
    <r>
      <rPr>
        <b/>
        <sz val="12"/>
        <color theme="1"/>
        <rFont val="Calibri"/>
        <family val="2"/>
        <charset val="204"/>
        <scheme val="minor"/>
      </rPr>
      <t>-34 999,25 грн</t>
    </r>
    <r>
      <rPr>
        <sz val="12"/>
        <color theme="1"/>
        <rFont val="Calibri"/>
        <family val="2"/>
        <charset val="204"/>
        <scheme val="minor"/>
      </rPr>
      <t>.; Набори до дня знань -</t>
    </r>
    <r>
      <rPr>
        <b/>
        <sz val="12"/>
        <color theme="1"/>
        <rFont val="Calibri"/>
        <family val="2"/>
        <charset val="204"/>
        <scheme val="minor"/>
      </rPr>
      <t xml:space="preserve"> 47 681,32 грн</t>
    </r>
    <r>
      <rPr>
        <sz val="12"/>
        <color theme="1"/>
        <rFont val="Calibri"/>
        <family val="2"/>
        <charset val="204"/>
        <scheme val="minor"/>
      </rPr>
      <t xml:space="preserve">.; Лампи - </t>
    </r>
    <r>
      <rPr>
        <b/>
        <sz val="12"/>
        <color theme="1"/>
        <rFont val="Calibri"/>
        <family val="2"/>
        <charset val="204"/>
        <scheme val="minor"/>
      </rPr>
      <t>4 291,00 грн</t>
    </r>
    <r>
      <rPr>
        <sz val="12"/>
        <color theme="1"/>
        <rFont val="Calibri"/>
        <family val="2"/>
        <charset val="204"/>
        <scheme val="minor"/>
      </rPr>
      <t xml:space="preserve">.; Засоби гігієни - </t>
    </r>
    <r>
      <rPr>
        <b/>
        <sz val="12"/>
        <color theme="1"/>
        <rFont val="Calibri"/>
        <family val="2"/>
        <charset val="204"/>
        <scheme val="minor"/>
      </rPr>
      <t>173 357,73грн.; К</t>
    </r>
    <r>
      <rPr>
        <sz val="12"/>
        <color theme="1"/>
        <rFont val="Calibri"/>
        <family val="2"/>
        <charset val="204"/>
        <scheme val="minor"/>
      </rPr>
      <t>анцтовари-</t>
    </r>
    <r>
      <rPr>
        <b/>
        <sz val="12"/>
        <color theme="1"/>
        <rFont val="Calibri"/>
        <family val="2"/>
        <charset val="204"/>
        <scheme val="minor"/>
      </rPr>
      <t>23 685,31</t>
    </r>
    <r>
      <rPr>
        <sz val="12"/>
        <color theme="1"/>
        <rFont val="Calibri"/>
        <family val="2"/>
        <charset val="204"/>
        <scheme val="minor"/>
      </rPr>
      <t xml:space="preserve"> грн.; Металопластикові вироби - </t>
    </r>
    <r>
      <rPr>
        <b/>
        <sz val="12"/>
        <color theme="1"/>
        <rFont val="Calibri"/>
        <family val="2"/>
        <charset val="204"/>
        <scheme val="minor"/>
      </rPr>
      <t xml:space="preserve">47 500,00 грн.; </t>
    </r>
    <r>
      <rPr>
        <sz val="12"/>
        <color theme="1"/>
        <rFont val="Calibri"/>
        <family val="2"/>
        <charset val="204"/>
        <scheme val="minor"/>
      </rPr>
      <t>Медекаменти</t>
    </r>
    <r>
      <rPr>
        <b/>
        <sz val="12"/>
        <color theme="1"/>
        <rFont val="Calibri"/>
        <family val="2"/>
        <charset val="204"/>
        <scheme val="minor"/>
      </rPr>
      <t xml:space="preserve"> - 5 993,00 грн.</t>
    </r>
  </si>
  <si>
    <t>Продукти харчування</t>
  </si>
  <si>
    <r>
      <t xml:space="preserve">Морозиво до дня захисту дітей </t>
    </r>
    <r>
      <rPr>
        <b/>
        <sz val="12"/>
        <color theme="1"/>
        <rFont val="Calibri"/>
        <family val="2"/>
        <charset val="204"/>
        <scheme val="minor"/>
      </rPr>
      <t>25 000,00 грн</t>
    </r>
    <r>
      <rPr>
        <sz val="12"/>
        <color theme="1"/>
        <rFont val="Calibri"/>
        <family val="2"/>
        <charset val="204"/>
        <scheme val="minor"/>
      </rPr>
      <t>.; Великодній Кекс -</t>
    </r>
    <r>
      <rPr>
        <b/>
        <sz val="12"/>
        <color theme="1"/>
        <rFont val="Calibri"/>
        <family val="2"/>
        <charset val="204"/>
        <scheme val="minor"/>
      </rPr>
      <t>34 986,60грн</t>
    </r>
    <r>
      <rPr>
        <sz val="12"/>
        <color theme="1"/>
        <rFont val="Calibri"/>
        <family val="2"/>
        <charset val="204"/>
        <scheme val="minor"/>
      </rPr>
      <t>.; Набір з печева -</t>
    </r>
    <r>
      <rPr>
        <b/>
        <sz val="12"/>
        <color theme="1"/>
        <rFont val="Calibri"/>
        <family val="2"/>
        <charset val="204"/>
        <scheme val="minor"/>
      </rPr>
      <t>15 000,00 грн.</t>
    </r>
    <r>
      <rPr>
        <sz val="12"/>
        <color theme="1"/>
        <rFont val="Calibri"/>
        <family val="2"/>
        <charset val="204"/>
        <scheme val="minor"/>
      </rPr>
      <t>; Подарунковий набір-</t>
    </r>
    <r>
      <rPr>
        <b/>
        <sz val="12"/>
        <color theme="1"/>
        <rFont val="Calibri"/>
        <family val="2"/>
        <charset val="204"/>
        <scheme val="minor"/>
      </rPr>
      <t>16 059,00 грн</t>
    </r>
    <r>
      <rPr>
        <sz val="12"/>
        <color theme="1"/>
        <rFont val="Calibri"/>
        <family val="2"/>
        <charset val="204"/>
        <scheme val="minor"/>
      </rPr>
      <t>.; Новорічні подарунки-</t>
    </r>
    <r>
      <rPr>
        <b/>
        <sz val="12"/>
        <color theme="1"/>
        <rFont val="Calibri"/>
        <family val="2"/>
        <charset val="204"/>
        <scheme val="minor"/>
      </rPr>
      <t>75 000,00 грн</t>
    </r>
    <r>
      <rPr>
        <sz val="12"/>
        <color theme="1"/>
        <rFont val="Calibri"/>
        <family val="2"/>
        <charset val="204"/>
        <scheme val="minor"/>
      </rPr>
      <t>.; Продукти харчування-</t>
    </r>
    <r>
      <rPr>
        <b/>
        <sz val="12"/>
        <color theme="1"/>
        <rFont val="Calibri"/>
        <family val="2"/>
        <charset val="204"/>
        <scheme val="minor"/>
      </rPr>
      <t>195 000,00 грн.</t>
    </r>
  </si>
  <si>
    <t>Оплата послуг крім комунальних</t>
  </si>
  <si>
    <r>
      <t>Касове обслуговування-</t>
    </r>
    <r>
      <rPr>
        <b/>
        <sz val="12"/>
        <color theme="1"/>
        <rFont val="Calibri"/>
        <family val="2"/>
        <charset val="204"/>
        <scheme val="minor"/>
      </rPr>
      <t>6 473,46 грн</t>
    </r>
    <r>
      <rPr>
        <sz val="12"/>
        <color theme="1"/>
        <rFont val="Calibri"/>
        <family val="2"/>
        <charset val="204"/>
        <scheme val="minor"/>
      </rPr>
      <t xml:space="preserve">.; Інтернет- </t>
    </r>
    <r>
      <rPr>
        <b/>
        <sz val="12"/>
        <color theme="1"/>
        <rFont val="Calibri"/>
        <family val="2"/>
        <charset val="204"/>
        <scheme val="minor"/>
      </rPr>
      <t>17 390,00 грн</t>
    </r>
    <r>
      <rPr>
        <sz val="12"/>
        <color theme="1"/>
        <rFont val="Calibri"/>
        <family val="2"/>
        <charset val="204"/>
        <scheme val="minor"/>
      </rPr>
      <t>.; Заправка катріджей-</t>
    </r>
    <r>
      <rPr>
        <b/>
        <sz val="12"/>
        <color theme="1"/>
        <rFont val="Calibri"/>
        <family val="2"/>
        <charset val="204"/>
        <scheme val="minor"/>
      </rPr>
      <t>1 350,00 грн</t>
    </r>
    <r>
      <rPr>
        <sz val="12"/>
        <color theme="1"/>
        <rFont val="Calibri"/>
        <family val="2"/>
        <charset val="204"/>
        <scheme val="minor"/>
      </rPr>
      <t xml:space="preserve">.; Послуги програмного забезпечення- </t>
    </r>
    <r>
      <rPr>
        <b/>
        <sz val="12"/>
        <color theme="1"/>
        <rFont val="Calibri"/>
        <family val="2"/>
        <charset val="204"/>
        <scheme val="minor"/>
      </rPr>
      <t>19 422,00 грн.</t>
    </r>
    <r>
      <rPr>
        <sz val="12"/>
        <color theme="1"/>
        <rFont val="Calibri"/>
        <family val="2"/>
        <charset val="204"/>
        <scheme val="minor"/>
      </rPr>
      <t xml:space="preserve">; Технічне обслуговування газового котла - </t>
    </r>
    <r>
      <rPr>
        <b/>
        <sz val="12"/>
        <color theme="1"/>
        <rFont val="Calibri"/>
        <family val="2"/>
        <charset val="204"/>
        <scheme val="minor"/>
      </rPr>
      <t>4 963,26 грн</t>
    </r>
    <r>
      <rPr>
        <sz val="12"/>
        <color theme="1"/>
        <rFont val="Calibri"/>
        <family val="2"/>
        <charset val="204"/>
        <scheme val="minor"/>
      </rPr>
      <t>.; Передплата журналу -</t>
    </r>
    <r>
      <rPr>
        <b/>
        <sz val="12"/>
        <color theme="1"/>
        <rFont val="Calibri"/>
        <family val="2"/>
        <charset val="204"/>
        <scheme val="minor"/>
      </rPr>
      <t>4 000,00грн</t>
    </r>
    <r>
      <rPr>
        <sz val="12"/>
        <color theme="1"/>
        <rFont val="Calibri"/>
        <family val="2"/>
        <charset val="204"/>
        <scheme val="minor"/>
      </rPr>
      <t xml:space="preserve">.; Оплата послуг телефону- </t>
    </r>
    <r>
      <rPr>
        <b/>
        <sz val="12"/>
        <color theme="1"/>
        <rFont val="Calibri"/>
        <family val="2"/>
        <charset val="204"/>
        <scheme val="minor"/>
      </rPr>
      <t>10 338,27грн.</t>
    </r>
    <r>
      <rPr>
        <sz val="12"/>
        <color theme="1"/>
        <rFont val="Calibri"/>
        <family val="2"/>
        <charset val="204"/>
        <scheme val="minor"/>
      </rPr>
      <t>; Прибирання прибудинкової території-</t>
    </r>
    <r>
      <rPr>
        <b/>
        <sz val="12"/>
        <color theme="1"/>
        <rFont val="Calibri"/>
        <family val="2"/>
        <charset val="204"/>
        <scheme val="minor"/>
      </rPr>
      <t>8 786,26 грн</t>
    </r>
    <r>
      <rPr>
        <sz val="12"/>
        <color theme="1"/>
        <rFont val="Calibri"/>
        <family val="2"/>
        <charset val="204"/>
        <scheme val="minor"/>
      </rPr>
      <t>.; Заправка вогнегасників-</t>
    </r>
    <r>
      <rPr>
        <b/>
        <sz val="12"/>
        <color theme="1"/>
        <rFont val="Calibri"/>
        <family val="2"/>
        <charset val="204"/>
        <scheme val="minor"/>
      </rPr>
      <t>1 185,00 грн.</t>
    </r>
    <r>
      <rPr>
        <sz val="12"/>
        <color theme="1"/>
        <rFont val="Calibri"/>
        <family val="2"/>
        <charset val="204"/>
        <scheme val="minor"/>
      </rPr>
      <t>; Облаштування прибудинкової території-</t>
    </r>
    <r>
      <rPr>
        <b/>
        <sz val="12"/>
        <color theme="1"/>
        <rFont val="Calibri"/>
        <family val="2"/>
        <charset val="204"/>
        <scheme val="minor"/>
      </rPr>
      <t>57 590,21грн.</t>
    </r>
  </si>
  <si>
    <t>Інші поточні видатки</t>
  </si>
  <si>
    <r>
      <t>Теплогенератор-</t>
    </r>
    <r>
      <rPr>
        <b/>
        <sz val="12"/>
        <color theme="1"/>
        <rFont val="Calibri"/>
        <family val="2"/>
        <charset val="204"/>
        <scheme val="minor"/>
      </rPr>
      <t>1 019 500,00грн</t>
    </r>
    <r>
      <rPr>
        <sz val="12"/>
        <color theme="1"/>
        <rFont val="Calibri"/>
        <family val="2"/>
        <charset val="204"/>
        <scheme val="minor"/>
      </rPr>
      <t>.;Автомобіль RENAULT EXPRESS-</t>
    </r>
    <r>
      <rPr>
        <b/>
        <sz val="12"/>
        <color theme="1"/>
        <rFont val="Calibri"/>
        <family val="2"/>
        <charset val="204"/>
        <scheme val="minor"/>
      </rPr>
      <t>868 337,00грн</t>
    </r>
    <r>
      <rPr>
        <sz val="12"/>
        <color theme="1"/>
        <rFont val="Calibri"/>
        <family val="2"/>
        <charset val="204"/>
        <scheme val="minor"/>
      </rPr>
      <t>.; Оргтехніка(2 принтера,2 ноутбуки,1 моноблок)-</t>
    </r>
    <r>
      <rPr>
        <b/>
        <sz val="12"/>
        <color theme="1"/>
        <rFont val="Calibri"/>
        <family val="2"/>
        <charset val="204"/>
        <scheme val="minor"/>
      </rPr>
      <t>136 765,00грн</t>
    </r>
    <r>
      <rPr>
        <sz val="12"/>
        <color theme="1"/>
        <rFont val="Calibri"/>
        <family val="2"/>
        <charset val="204"/>
        <scheme val="minor"/>
      </rPr>
      <t>.</t>
    </r>
  </si>
  <si>
    <t>"Надання соціальних послуг по Петрівській сільській територіальній громаді на 2023 рік"</t>
  </si>
  <si>
    <r>
      <t xml:space="preserve">Бензин А-95 Талони 860 літрів по 46,40грн за літр = </t>
    </r>
    <r>
      <rPr>
        <b/>
        <sz val="12"/>
        <color theme="1"/>
        <rFont val="Calibri"/>
        <family val="2"/>
        <charset val="204"/>
        <scheme val="minor"/>
      </rPr>
      <t>39 904,00 грн</t>
    </r>
    <r>
      <rPr>
        <sz val="12"/>
        <color theme="1"/>
        <rFont val="Calibri"/>
        <family val="2"/>
        <charset val="204"/>
        <scheme val="minor"/>
      </rPr>
      <t xml:space="preserve">., 3400 літрів по 52,03 грн за літр = </t>
    </r>
    <r>
      <rPr>
        <b/>
        <sz val="12"/>
        <color theme="1"/>
        <rFont val="Calibri"/>
        <family val="2"/>
        <charset val="204"/>
        <scheme val="minor"/>
      </rPr>
      <t>176 902,00 грн..</t>
    </r>
  </si>
  <si>
    <r>
      <t>Заправка катриджів (70 шт по 150грн/шт=</t>
    </r>
    <r>
      <rPr>
        <b/>
        <sz val="12"/>
        <color theme="1"/>
        <rFont val="Calibri"/>
        <family val="2"/>
        <charset val="204"/>
        <scheme val="minor"/>
      </rPr>
      <t>10 500грн</t>
    </r>
    <r>
      <rPr>
        <sz val="12"/>
        <color theme="1"/>
        <rFont val="Calibri"/>
        <family val="2"/>
        <charset val="204"/>
        <scheme val="minor"/>
      </rPr>
      <t>.), ремонт комп'ютера-2 послуги (</t>
    </r>
    <r>
      <rPr>
        <b/>
        <sz val="12"/>
        <color theme="1"/>
        <rFont val="Calibri"/>
        <family val="2"/>
        <charset val="204"/>
        <scheme val="minor"/>
      </rPr>
      <t>7 000,00грн.</t>
    </r>
    <r>
      <rPr>
        <sz val="12"/>
        <color theme="1"/>
        <rFont val="Calibri"/>
        <family val="2"/>
        <charset val="204"/>
        <scheme val="minor"/>
      </rPr>
      <t>), платіж на заправку катриджів  (</t>
    </r>
    <r>
      <rPr>
        <b/>
        <sz val="12"/>
        <color theme="1"/>
        <rFont val="Calibri"/>
        <family val="2"/>
        <charset val="204"/>
        <scheme val="minor"/>
      </rPr>
      <t>8 821,93грн</t>
    </r>
    <r>
      <rPr>
        <sz val="12"/>
        <color theme="1"/>
        <rFont val="Calibri"/>
        <family val="2"/>
        <charset val="204"/>
        <scheme val="minor"/>
      </rPr>
      <t>), ремонт автомобіля  4 послуги (</t>
    </r>
    <r>
      <rPr>
        <b/>
        <sz val="12"/>
        <color theme="1"/>
        <rFont val="Calibri"/>
        <family val="2"/>
        <charset val="204"/>
        <scheme val="minor"/>
      </rPr>
      <t>40 000,00грн</t>
    </r>
    <r>
      <rPr>
        <sz val="12"/>
        <color theme="1"/>
        <rFont val="Calibri"/>
        <family val="2"/>
        <charset val="204"/>
        <scheme val="minor"/>
      </rPr>
      <t xml:space="preserve">), оплата за інтернет </t>
    </r>
    <r>
      <rPr>
        <b/>
        <sz val="12"/>
        <color theme="1"/>
        <rFont val="Calibri"/>
        <family val="2"/>
        <charset val="204"/>
        <scheme val="minor"/>
      </rPr>
      <t>10 440,00 грн</t>
    </r>
    <r>
      <rPr>
        <sz val="12"/>
        <color theme="1"/>
        <rFont val="Calibri"/>
        <family val="2"/>
        <charset val="204"/>
        <scheme val="minor"/>
      </rPr>
      <t xml:space="preserve">., оновлення с-ми Медок та 1С </t>
    </r>
    <r>
      <rPr>
        <b/>
        <sz val="12"/>
        <color theme="1"/>
        <rFont val="Calibri"/>
        <family val="2"/>
        <charset val="204"/>
        <scheme val="minor"/>
      </rPr>
      <t>14 190,00грн.,</t>
    </r>
    <r>
      <rPr>
        <sz val="12"/>
        <color theme="1"/>
        <rFont val="Calibri"/>
        <family val="2"/>
        <charset val="204"/>
        <scheme val="minor"/>
      </rPr>
      <t xml:space="preserve"> Оренда приміщення амбулаторії "Смарагд" </t>
    </r>
    <r>
      <rPr>
        <b/>
        <sz val="12"/>
        <color theme="1"/>
        <rFont val="Calibri"/>
        <family val="2"/>
        <charset val="204"/>
        <scheme val="minor"/>
      </rPr>
      <t>203 490,00грн</t>
    </r>
    <r>
      <rPr>
        <sz val="12"/>
        <color theme="1"/>
        <rFont val="Calibri"/>
        <family val="2"/>
        <charset val="204"/>
        <scheme val="minor"/>
      </rPr>
      <t xml:space="preserve">, встановлення блискавкозахисту в амбулаторії Лютіж </t>
    </r>
    <r>
      <rPr>
        <b/>
        <sz val="12"/>
        <color theme="1"/>
        <rFont val="Calibri"/>
        <family val="2"/>
        <charset val="204"/>
        <scheme val="minor"/>
      </rPr>
      <t>54 166,92грн</t>
    </r>
    <r>
      <rPr>
        <sz val="12"/>
        <color theme="1"/>
        <rFont val="Calibri"/>
        <family val="2"/>
        <charset val="204"/>
        <scheme val="minor"/>
      </rPr>
      <t>.,влаштування с-ми пожежної сигналізації амбулаторія Смарагд, та ст. Петрівці</t>
    </r>
    <r>
      <rPr>
        <b/>
        <sz val="12"/>
        <color theme="1"/>
        <rFont val="Calibri"/>
        <family val="2"/>
        <charset val="204"/>
        <scheme val="minor"/>
      </rPr>
      <t xml:space="preserve"> 99 935,38грн</t>
    </r>
    <r>
      <rPr>
        <sz val="12"/>
        <color theme="1"/>
        <rFont val="Calibri"/>
        <family val="2"/>
        <charset val="204"/>
        <scheme val="minor"/>
      </rPr>
      <t xml:space="preserve">. , повірка мед. обладнання </t>
    </r>
    <r>
      <rPr>
        <b/>
        <sz val="12"/>
        <color theme="1"/>
        <rFont val="Calibri"/>
        <family val="2"/>
        <charset val="204"/>
        <scheme val="minor"/>
      </rPr>
      <t>12 480,00грн</t>
    </r>
    <r>
      <rPr>
        <sz val="12"/>
        <color theme="1"/>
        <rFont val="Calibri"/>
        <family val="2"/>
        <charset val="204"/>
        <scheme val="minor"/>
      </rPr>
      <t xml:space="preserve">., лабараторні полуги </t>
    </r>
    <r>
      <rPr>
        <b/>
        <sz val="12"/>
        <color theme="1"/>
        <rFont val="Calibri"/>
        <family val="2"/>
        <charset val="204"/>
        <scheme val="minor"/>
      </rPr>
      <t>685,03грн.</t>
    </r>
  </si>
  <si>
    <r>
      <t>Стоматологічні медикаменти-</t>
    </r>
    <r>
      <rPr>
        <b/>
        <sz val="12"/>
        <color theme="1"/>
        <rFont val="Calibri"/>
        <family val="2"/>
        <charset val="204"/>
        <scheme val="minor"/>
      </rPr>
      <t>14 562,00 грн.</t>
    </r>
    <r>
      <rPr>
        <sz val="12"/>
        <color theme="1"/>
        <rFont val="Calibri"/>
        <family val="2"/>
        <charset val="204"/>
        <scheme val="minor"/>
      </rPr>
      <t>; медикаменти-</t>
    </r>
    <r>
      <rPr>
        <b/>
        <sz val="12"/>
        <color theme="1"/>
        <rFont val="Calibri"/>
        <family val="2"/>
        <charset val="204"/>
        <scheme val="minor"/>
      </rPr>
      <t>49 074,08 грн</t>
    </r>
    <r>
      <rPr>
        <sz val="12"/>
        <color theme="1"/>
        <rFont val="Calibri"/>
        <family val="2"/>
        <charset val="204"/>
        <scheme val="minor"/>
      </rPr>
      <t>.; смужки діагностичні-</t>
    </r>
    <r>
      <rPr>
        <b/>
        <sz val="12"/>
        <color theme="1"/>
        <rFont val="Calibri"/>
        <family val="2"/>
        <charset val="204"/>
        <scheme val="minor"/>
      </rPr>
      <t>5 675,28 грн</t>
    </r>
    <r>
      <rPr>
        <sz val="12"/>
        <color theme="1"/>
        <rFont val="Calibri"/>
        <family val="2"/>
        <charset val="204"/>
        <scheme val="minor"/>
      </rPr>
      <t>.</t>
    </r>
  </si>
  <si>
    <r>
      <t>Канцтовари-</t>
    </r>
    <r>
      <rPr>
        <b/>
        <sz val="12"/>
        <color theme="1"/>
        <rFont val="Calibri"/>
        <family val="2"/>
        <charset val="204"/>
        <scheme val="minor"/>
      </rPr>
      <t>32 183,46 грн.</t>
    </r>
    <r>
      <rPr>
        <sz val="12"/>
        <color theme="1"/>
        <rFont val="Calibri"/>
        <family val="2"/>
        <charset val="204"/>
        <scheme val="minor"/>
      </rPr>
      <t>, миючі засоби-</t>
    </r>
    <r>
      <rPr>
        <b/>
        <sz val="12"/>
        <color theme="1"/>
        <rFont val="Calibri"/>
        <family val="2"/>
        <charset val="204"/>
        <scheme val="minor"/>
      </rPr>
      <t>10 982,58 грн</t>
    </r>
    <r>
      <rPr>
        <sz val="12"/>
        <color theme="1"/>
        <rFont val="Calibri"/>
        <family val="2"/>
        <charset val="204"/>
        <scheme val="minor"/>
      </rPr>
      <t>. лампи-</t>
    </r>
    <r>
      <rPr>
        <b/>
        <sz val="12"/>
        <color theme="1"/>
        <rFont val="Calibri"/>
        <family val="2"/>
        <charset val="204"/>
        <scheme val="minor"/>
      </rPr>
      <t>16 096,32 грн.</t>
    </r>
    <r>
      <rPr>
        <sz val="12"/>
        <color theme="1"/>
        <rFont val="Calibri"/>
        <family val="2"/>
        <charset val="204"/>
        <scheme val="minor"/>
      </rPr>
      <t>, запчастини до сигналізації-</t>
    </r>
    <r>
      <rPr>
        <b/>
        <sz val="12"/>
        <color theme="1"/>
        <rFont val="Calibri"/>
        <family val="2"/>
        <charset val="204"/>
        <scheme val="minor"/>
      </rPr>
      <t>10 494,30 грн</t>
    </r>
    <r>
      <rPr>
        <sz val="12"/>
        <color theme="1"/>
        <rFont val="Calibri"/>
        <family val="2"/>
        <charset val="204"/>
        <scheme val="minor"/>
      </rPr>
      <t>.</t>
    </r>
  </si>
  <si>
    <t>оплата послуг (крім комунальних)</t>
  </si>
  <si>
    <t>"Розвиток комунального некомерційного підприємства Петрівської сільської ради "Петрівський консультатвино-діагностичний центр" на 2023 рік"</t>
  </si>
  <si>
    <r>
      <t>Оплата інтернету-</t>
    </r>
    <r>
      <rPr>
        <b/>
        <sz val="12"/>
        <color theme="1"/>
        <rFont val="Calibri"/>
        <family val="2"/>
        <charset val="204"/>
        <scheme val="minor"/>
      </rPr>
      <t>23 760,00 грн</t>
    </r>
    <r>
      <rPr>
        <sz val="12"/>
        <color theme="1"/>
        <rFont val="Calibri"/>
        <family val="2"/>
        <charset val="204"/>
        <scheme val="minor"/>
      </rPr>
      <t>., доступ до ІТС "МедЕйр"-</t>
    </r>
    <r>
      <rPr>
        <b/>
        <sz val="12"/>
        <color theme="1"/>
        <rFont val="Calibri"/>
        <family val="2"/>
        <charset val="204"/>
        <scheme val="minor"/>
      </rPr>
      <t>19 500,00 грн</t>
    </r>
    <r>
      <rPr>
        <sz val="12"/>
        <color theme="1"/>
        <rFont val="Calibri"/>
        <family val="2"/>
        <charset val="204"/>
        <scheme val="minor"/>
      </rPr>
      <t>., послуги з охорони-</t>
    </r>
    <r>
      <rPr>
        <b/>
        <sz val="12"/>
        <color theme="1"/>
        <rFont val="Calibri"/>
        <family val="2"/>
        <charset val="204"/>
        <scheme val="minor"/>
      </rPr>
      <t>12 000,00 грн</t>
    </r>
    <r>
      <rPr>
        <sz val="12"/>
        <color theme="1"/>
        <rFont val="Calibri"/>
        <family val="2"/>
        <charset val="204"/>
        <scheme val="minor"/>
      </rPr>
      <t xml:space="preserve">., телекомунікаційні послуги- </t>
    </r>
    <r>
      <rPr>
        <b/>
        <sz val="12"/>
        <color theme="1"/>
        <rFont val="Calibri"/>
        <family val="2"/>
        <charset val="204"/>
        <scheme val="minor"/>
      </rPr>
      <t>7 414,95 грн.</t>
    </r>
    <r>
      <rPr>
        <sz val="12"/>
        <color theme="1"/>
        <rFont val="Calibri"/>
        <family val="2"/>
        <charset val="204"/>
        <scheme val="minor"/>
      </rPr>
      <t>, ПЗ "Медична статистика"-</t>
    </r>
    <r>
      <rPr>
        <b/>
        <sz val="12"/>
        <color theme="1"/>
        <rFont val="Calibri"/>
        <family val="2"/>
        <charset val="204"/>
        <scheme val="minor"/>
      </rPr>
      <t>1 500,00 грн</t>
    </r>
    <r>
      <rPr>
        <sz val="12"/>
        <color theme="1"/>
        <rFont val="Calibri"/>
        <family val="2"/>
        <charset val="204"/>
        <scheme val="minor"/>
      </rPr>
      <t>., ПЗ "Медичні кадри"-</t>
    </r>
    <r>
      <rPr>
        <b/>
        <sz val="12"/>
        <color theme="1"/>
        <rFont val="Calibri"/>
        <family val="2"/>
        <charset val="204"/>
        <scheme val="minor"/>
      </rPr>
      <t>2 200,00 грн.</t>
    </r>
    <r>
      <rPr>
        <sz val="12"/>
        <color theme="1"/>
        <rFont val="Calibri"/>
        <family val="2"/>
        <charset val="204"/>
        <scheme val="minor"/>
      </rPr>
      <t>, ПЗ "Логіка"-</t>
    </r>
    <r>
      <rPr>
        <b/>
        <sz val="12"/>
        <color theme="1"/>
        <rFont val="Calibri"/>
        <family val="2"/>
        <charset val="204"/>
        <scheme val="minor"/>
      </rPr>
      <t>2 900,00 грн</t>
    </r>
    <r>
      <rPr>
        <sz val="12"/>
        <color theme="1"/>
        <rFont val="Calibri"/>
        <family val="2"/>
        <charset val="204"/>
        <scheme val="minor"/>
      </rPr>
      <t>., очистка септиків-</t>
    </r>
    <r>
      <rPr>
        <b/>
        <sz val="12"/>
        <color theme="1"/>
        <rFont val="Calibri"/>
        <family val="2"/>
        <charset val="204"/>
        <scheme val="minor"/>
      </rPr>
      <t>5 405,40 грн.</t>
    </r>
    <r>
      <rPr>
        <sz val="12"/>
        <color theme="1"/>
        <rFont val="Calibri"/>
        <family val="2"/>
        <charset val="204"/>
        <scheme val="minor"/>
      </rPr>
      <t>, лабораторні послуги-</t>
    </r>
    <r>
      <rPr>
        <b/>
        <sz val="12"/>
        <color theme="1"/>
        <rFont val="Calibri"/>
        <family val="2"/>
        <charset val="204"/>
        <scheme val="minor"/>
      </rPr>
      <t>31 784,71 грн</t>
    </r>
    <r>
      <rPr>
        <sz val="12"/>
        <color theme="1"/>
        <rFont val="Calibri"/>
        <family val="2"/>
        <charset val="204"/>
        <scheme val="minor"/>
      </rPr>
      <t>., обслуговування ПЗ-</t>
    </r>
    <r>
      <rPr>
        <b/>
        <sz val="12"/>
        <color theme="1"/>
        <rFont val="Calibri"/>
        <family val="2"/>
        <charset val="204"/>
        <scheme val="minor"/>
      </rPr>
      <t>4 500,00 грн</t>
    </r>
    <r>
      <rPr>
        <sz val="12"/>
        <color theme="1"/>
        <rFont val="Calibri"/>
        <family val="2"/>
        <charset val="204"/>
        <scheme val="minor"/>
      </rPr>
      <t xml:space="preserve">., підготовка до опалювального сезону - </t>
    </r>
    <r>
      <rPr>
        <b/>
        <sz val="12"/>
        <color theme="1"/>
        <rFont val="Calibri"/>
        <family val="2"/>
        <charset val="204"/>
        <scheme val="minor"/>
      </rPr>
      <t>23 240,00 грн</t>
    </r>
    <r>
      <rPr>
        <sz val="12"/>
        <color theme="1"/>
        <rFont val="Calibri"/>
        <family val="2"/>
        <charset val="204"/>
        <scheme val="minor"/>
      </rPr>
      <t xml:space="preserve">., поточний ремонт (герметизація стін) - </t>
    </r>
    <r>
      <rPr>
        <b/>
        <sz val="12"/>
        <color theme="1"/>
        <rFont val="Calibri"/>
        <family val="2"/>
        <charset val="204"/>
        <scheme val="minor"/>
      </rPr>
      <t>81 981,60 грн.</t>
    </r>
    <r>
      <rPr>
        <sz val="12"/>
        <color theme="1"/>
        <rFont val="Calibri"/>
        <family val="2"/>
        <charset val="204"/>
        <scheme val="minor"/>
      </rPr>
      <t>, заправка картриджів -</t>
    </r>
    <r>
      <rPr>
        <b/>
        <sz val="12"/>
        <color theme="1"/>
        <rFont val="Calibri"/>
        <family val="2"/>
        <charset val="204"/>
        <scheme val="minor"/>
      </rPr>
      <t xml:space="preserve"> 8 020,00 грн</t>
    </r>
    <r>
      <rPr>
        <sz val="12"/>
        <color theme="1"/>
        <rFont val="Calibri"/>
        <family val="2"/>
        <charset val="204"/>
        <scheme val="minor"/>
      </rPr>
      <t xml:space="preserve">., поточний ремонт найпростішого укриття - </t>
    </r>
    <r>
      <rPr>
        <b/>
        <sz val="12"/>
        <color theme="1"/>
        <rFont val="Calibri"/>
        <family val="2"/>
        <charset val="204"/>
        <scheme val="minor"/>
      </rPr>
      <t>118 531,76 грн.</t>
    </r>
    <r>
      <rPr>
        <sz val="12"/>
        <color theme="1"/>
        <rFont val="Calibri"/>
        <family val="2"/>
        <charset val="204"/>
        <scheme val="minor"/>
      </rPr>
      <t>, монтаж резервного безперебійного джерела живлення -</t>
    </r>
    <r>
      <rPr>
        <b/>
        <sz val="12"/>
        <color theme="1"/>
        <rFont val="Calibri"/>
        <family val="2"/>
        <charset val="204"/>
        <scheme val="minor"/>
      </rPr>
      <t>99 009,89 грн.</t>
    </r>
    <r>
      <rPr>
        <sz val="12"/>
        <color theme="1"/>
        <rFont val="Calibri"/>
        <family val="2"/>
        <charset val="204"/>
        <scheme val="minor"/>
      </rPr>
      <t>, ремонт системи опалення -</t>
    </r>
    <r>
      <rPr>
        <b/>
        <sz val="12"/>
        <color theme="1"/>
        <rFont val="Calibri"/>
        <family val="2"/>
        <charset val="204"/>
        <scheme val="minor"/>
      </rPr>
      <t xml:space="preserve"> 59 836,00 грн.</t>
    </r>
  </si>
  <si>
    <t xml:space="preserve">Капітальний ремонт </t>
  </si>
  <si>
    <t xml:space="preserve">       Комунальне некомерційне підприємство Петрівської сільської ради «Петрівський  консультативно – діагностичний центр» (далі – центр) відповідно до покладених завдань забезпечує: надання населенню вторинної медичної допомоги; проведення заходів масової та індивідуальної профілактики інфекційних захворювань; раннє виявлення та профілактику неінфекційних захворювань, визначення груп підвищеного ризику; раннє виявлення та профілактику інфекційних захворювань, у тому числі соціально небезпечних проведення санітарно-просвітницької роботи, навчання населення здоровому способу життя, основам надання першої допомоги; проведення експертизи тимчасової втрати працездатності; підготовку медичної документації для направлення осіб з ознаками стійкої втрати працездатності на медико-соціальну експертизу та на медико-соціальну реабілітацію; виписку рецептів для пільгового забезпечення лікарськими засобами окремих груп населення та за певними категоріями захворювань відповідно до чинного законодавства; наступність та послідовність медичного обстеження, лікування та реабілітації пацієнтів у взаємодії з іншими ЗОЗ відповідно до медичного маршруту пацієнта, направлення пацієнтів для отримання інших видів медичної допомоги.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</si>
  <si>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r>
      <t xml:space="preserve">       Програма "Підтримка та розвиток освітніх закладів у Петрівській сільській територіальній громаді на 2023 рік» (далі – Програма) розроблена і спрямована на забезпечення розвитку системи освіти в громаді, її ефективності, оновлення і прискореного запровадження нових форм і технологій організації освітнього процесу, підтримку педагогічних працівників, обдарованої молоді, розвиток їхнього творчого потенціалу, самореалізації особистості, створення нового освітнього середовища в Новій українській школі. В першу чергу Програма </t>
    </r>
    <r>
      <rPr>
        <sz val="11"/>
        <color theme="1"/>
        <rFont val="Calibri"/>
        <family val="2"/>
        <charset val="204"/>
        <scheme val="minor"/>
      </rPr>
      <t xml:space="preserve">орієнтована на розширення доступу громадян до якісної освіти в закладах дошкільної, загальної середньої та позашкільної освіти, які належать до комунальної власності громади. Реалізація Програми дозволить створити умови для надання якісних освітніх послуг, сприятиме удосконаленню діяльності закладів освіти територіальної громади, стимулюватиме розвиток творчого потенціалу освітніх управлінців, учителів,  учнів, усіх учасників освітнього процесу тощо.
Забезпечення закладів освіти сучасною комп’ютерною технікою та підключення комп’ютерів до швидкісної мережі Інтернет, створення сучасних веб-сайтів, організація дистанційного навчання учнів і вчителів, розроблення електронних навчально-методичних комплексів для учнів – необхідна умова розвитку системи освіти регіону.                                                                                                                                                                                      На території Петрівської сільської територіальної громади діє                                                                                                          </t>
    </r>
    <r>
      <rPr>
        <u/>
        <sz val="11"/>
        <color theme="1"/>
        <rFont val="Calibri"/>
        <family val="2"/>
        <charset val="204"/>
        <scheme val="minor"/>
      </rPr>
      <t>5 закладів загальної середньої освіти</t>
    </r>
    <r>
      <rPr>
        <sz val="11"/>
        <color theme="1"/>
        <rFont val="Calibri"/>
        <family val="2"/>
        <charset val="204"/>
        <scheme val="minor"/>
      </rPr>
      <t xml:space="preserve">:                                                                                                                                          Новопетрівський ліцей Петрівської сільської ради 
Новопетрівська гімназія № 1 Петрівської сільської ради (виконується процедура приєднання до Петрівського ліцей Петрівської сільської ради)
Новопетрівська гімназія № 2 Петрівської сільської ради 
Петрівський ліцей Петрівської сільської ради
Лютізький ліцей  Петрівської сільської ради.                                                                                                                                               </t>
    </r>
    <r>
      <rPr>
        <u/>
        <sz val="11"/>
        <color theme="1"/>
        <rFont val="Calibri"/>
        <family val="2"/>
        <charset val="204"/>
        <scheme val="minor"/>
      </rPr>
      <t xml:space="preserve">Заклади дошкільної освіти </t>
    </r>
    <r>
      <rPr>
        <sz val="11"/>
        <color theme="1"/>
        <rFont val="Calibri"/>
        <family val="2"/>
        <charset val="204"/>
        <scheme val="minor"/>
      </rPr>
      <t xml:space="preserve">
Комунальний заклад дошкільної освіти (ясла – садок) комбінованого типу «Пролісок» Петрівської сільської ради;
Комунальний заклад дошкільної освіти «Центр розвитку дитини «Барвінок» Петрівської сільської ради;                                                                                                                                                                                                                 Комунальний заклад дошкільної освіти (ясла-садок) комбінованого типу «Петрик» Петрівської сільської ради.  
</t>
    </r>
  </si>
  <si>
    <t xml:space="preserve"> на них на 2023 рік»</t>
  </si>
  <si>
    <t>Програма «Підготовка до продажу земельних ділянок несільськогосподарського призначення комунальної власності або прав на них на 2023 рік» (далі - Програма) спрямована на забезпечення виконання вимог чинного законодавства при продажі земельних ділянок несільськогосподарського призначення.</t>
  </si>
  <si>
    <t>Формування безпечних умов життєдіяльності людей, забезпечення екологічної безпеки, відновлення та створення територій природо-заповідного фонду, визначення охоронних територій та інше</t>
  </si>
  <si>
    <t xml:space="preserve">від      року №  </t>
  </si>
  <si>
    <t xml:space="preserve">
«Охорона навколишнього природного середовища Петрівської сільської територіальної громади на 2022-2024 роки»
</t>
  </si>
  <si>
    <t xml:space="preserve">Програма розроблена з метою реалізації державної політики України в галузі довкілля, охорони земель, забезпечення екологічної безпеки, захисту життя і здоров'я мешканців населених пунктів від негативного впливу, зумовленого забрудненням навколишнього природного середовища, досягнення гармонії взаємодії суспільства і природи.
Основою проблемою є підтоплення та затоплення територій (земель) в с. Нові Петрівці Вишгородського району Київської області виникають по декілька разів на рік в період випадання рясних дощів та у весняний період танення снігу. В залежності від кількісних показників опадів та їх тривалості, тривалості весняного розмерзання ґрунту, на поверхні, в низинних місцях затоплюються значні території із водостоянням на поверхні тривалістю від декількох днів до декількох тижнів. Ці періодичні підтоплення та затоплення призводять до великих незручностей для проживаючого на цій території населення, негативно впливають на санітарно-епідемічний стан, наносять значні збитки власникам приватних садиб через ушкодження їх майна, та місцевій громаді. Тривале водостояння на поверхні знищує городину дерева та кущі, що також приносить значні збитки власникам та значно погіршує психо-емоційний стан населення, особливо старшого віку.
</t>
  </si>
  <si>
    <t>«Розвиток земельних відносин на території Петрівської сільської територіальної громади на 2023 рік»</t>
  </si>
  <si>
    <t>Топографо-геодезичні роботи</t>
  </si>
  <si>
    <t>Топографо-геодезичні вишукування шельфа озера Канево в с.Нові Петрівці</t>
  </si>
  <si>
    <t>Виготовлення електроно обміних файлів хмл на земельні ділянки Петр.с/р - 3 500,00 грн.; оплата послуг з розроблення проєкту землеустрою в с.Лютіж - 10 000,00грн.; оплата послуг з розроблення технічної документації із землеустрою в с.Нові Петрівці -15 000,00 грн.; оплата послуг з розроблення технічної документації із землеустрою  с.Гута-Межигірська - 20 000,00 грн.; оплата послуг з виготовлення технічної документації з інвентаризації земельних ділянок в с.Старі Петрівці - 43 781,24 грн.; оплата послуг з розробленням технічної документації із землеустрою в с. Старі Петрівці - 15 000,00грн.; оплата послуг з розробки технічної документації із землеустрою в с.Нові Петрівці - 15 000,00грн; послуги з виготовлення проекту землеустрою щодо зміни цільового призначення земельної ділянки -35 373,73 грн.; послуги з виготовлення проекту землеустрію щодо встановлення меж територій Петрівської сільської територіальної громади - 98 751,66 грн..</t>
  </si>
  <si>
    <t xml:space="preserve">«Реформування та розвиток комунального господарства Петрівської сільської територіальної громади на 2023 рік» </t>
  </si>
  <si>
    <r>
      <rPr>
        <b/>
        <sz val="12"/>
        <color theme="1"/>
        <rFont val="Calibri"/>
        <family val="2"/>
        <charset val="204"/>
        <scheme val="minor"/>
      </rPr>
      <t xml:space="preserve">Поточні ремонти зовнішн водопров мереж: </t>
    </r>
    <r>
      <rPr>
        <sz val="12"/>
        <color theme="1"/>
        <rFont val="Calibri"/>
        <family val="2"/>
        <charset val="204"/>
        <scheme val="minor"/>
      </rPr>
      <t xml:space="preserve">Квітень - по вул.Топорікова в с. Лютіж - </t>
    </r>
    <r>
      <rPr>
        <b/>
        <sz val="12"/>
        <color theme="1"/>
        <rFont val="Calibri"/>
        <family val="2"/>
        <charset val="204"/>
        <scheme val="minor"/>
      </rPr>
      <t>198 949,20грн</t>
    </r>
    <r>
      <rPr>
        <sz val="12"/>
        <color theme="1"/>
        <rFont val="Calibri"/>
        <family val="2"/>
        <charset val="204"/>
        <scheme val="minor"/>
      </rPr>
      <t xml:space="preserve">.; по вул.Цвілія в с. Лютіж - </t>
    </r>
    <r>
      <rPr>
        <b/>
        <sz val="12"/>
        <color theme="1"/>
        <rFont val="Calibri"/>
        <family val="2"/>
        <charset val="204"/>
        <scheme val="minor"/>
      </rPr>
      <t>198 246,98грн</t>
    </r>
    <r>
      <rPr>
        <sz val="12"/>
        <color theme="1"/>
        <rFont val="Calibri"/>
        <family val="2"/>
        <charset val="204"/>
        <scheme val="minor"/>
      </rPr>
      <t xml:space="preserve">.; Травень - по вул. Межигірська в с. Старі Петрівці - </t>
    </r>
    <r>
      <rPr>
        <b/>
        <sz val="12"/>
        <color theme="1"/>
        <rFont val="Calibri"/>
        <family val="2"/>
        <charset val="204"/>
        <scheme val="minor"/>
      </rPr>
      <t>198 581,08грн</t>
    </r>
    <r>
      <rPr>
        <sz val="12"/>
        <color theme="1"/>
        <rFont val="Calibri"/>
        <family val="2"/>
        <charset val="204"/>
        <scheme val="minor"/>
      </rPr>
      <t xml:space="preserve">.; по вул. Князя Святослава в с. Нові Петрівці - </t>
    </r>
    <r>
      <rPr>
        <b/>
        <sz val="12"/>
        <color theme="1"/>
        <rFont val="Calibri"/>
        <family val="2"/>
        <charset val="204"/>
        <scheme val="minor"/>
      </rPr>
      <t>197 825,64грн</t>
    </r>
    <r>
      <rPr>
        <sz val="12"/>
        <color theme="1"/>
        <rFont val="Calibri"/>
        <family val="2"/>
        <charset val="204"/>
        <scheme val="minor"/>
      </rPr>
      <t xml:space="preserve">.; по вул. Межигірська в с. Нові Петрівці - </t>
    </r>
    <r>
      <rPr>
        <b/>
        <sz val="12"/>
        <color theme="1"/>
        <rFont val="Calibri"/>
        <family val="2"/>
        <charset val="204"/>
        <scheme val="minor"/>
      </rPr>
      <t>196 192,76грн</t>
    </r>
    <r>
      <rPr>
        <sz val="12"/>
        <color theme="1"/>
        <rFont val="Calibri"/>
        <family val="2"/>
        <charset val="204"/>
        <scheme val="minor"/>
      </rPr>
      <t xml:space="preserve">.; Липень - по вул. Свято-Покровська в с. Нові Петрівц - </t>
    </r>
    <r>
      <rPr>
        <b/>
        <sz val="12"/>
        <color theme="1"/>
        <rFont val="Calibri"/>
        <family val="2"/>
        <charset val="204"/>
        <scheme val="minor"/>
      </rPr>
      <t>141 818,15грн</t>
    </r>
    <r>
      <rPr>
        <sz val="12"/>
        <color theme="1"/>
        <rFont val="Calibri"/>
        <family val="2"/>
        <charset val="204"/>
        <scheme val="minor"/>
      </rPr>
      <t xml:space="preserve">.; Вересень - по вул. Цвілія в с. Лютіж - </t>
    </r>
    <r>
      <rPr>
        <b/>
        <sz val="12"/>
        <color theme="1"/>
        <rFont val="Calibri"/>
        <family val="2"/>
        <charset val="204"/>
        <scheme val="minor"/>
      </rPr>
      <t>198 549,46грн</t>
    </r>
    <r>
      <rPr>
        <sz val="12"/>
        <color theme="1"/>
        <rFont val="Calibri"/>
        <family val="2"/>
        <charset val="204"/>
        <scheme val="minor"/>
      </rPr>
      <t xml:space="preserve">.; по вул. Топорікова в с. Лютіж - </t>
    </r>
    <r>
      <rPr>
        <b/>
        <sz val="12"/>
        <color theme="1"/>
        <rFont val="Calibri"/>
        <family val="2"/>
        <charset val="204"/>
        <scheme val="minor"/>
      </rPr>
      <t>194 712,97грн</t>
    </r>
    <r>
      <rPr>
        <sz val="12"/>
        <color theme="1"/>
        <rFont val="Calibri"/>
        <family val="2"/>
        <charset val="204"/>
        <scheme val="minor"/>
      </rPr>
      <t xml:space="preserve">.; по вул. Межигірська в с. Старі Петрівці - </t>
    </r>
    <r>
      <rPr>
        <b/>
        <sz val="12"/>
        <color theme="1"/>
        <rFont val="Calibri"/>
        <family val="2"/>
        <charset val="204"/>
        <scheme val="minor"/>
      </rPr>
      <t>198 241,37грн</t>
    </r>
    <r>
      <rPr>
        <sz val="12"/>
        <color theme="1"/>
        <rFont val="Calibri"/>
        <family val="2"/>
        <charset val="204"/>
        <scheme val="minor"/>
      </rPr>
      <t xml:space="preserve">.;  Жовтень - по вул. Межигірська в с. Нові Петрівці - </t>
    </r>
    <r>
      <rPr>
        <b/>
        <sz val="12"/>
        <color theme="1"/>
        <rFont val="Calibri"/>
        <family val="2"/>
        <charset val="204"/>
        <scheme val="minor"/>
      </rPr>
      <t>198 780,82грн</t>
    </r>
    <r>
      <rPr>
        <sz val="12"/>
        <color theme="1"/>
        <rFont val="Calibri"/>
        <family val="2"/>
        <charset val="204"/>
        <scheme val="minor"/>
      </rPr>
      <t xml:space="preserve">.; по вул. Князя Святослава в с. Нові Петрівці - </t>
    </r>
    <r>
      <rPr>
        <b/>
        <sz val="12"/>
        <color theme="1"/>
        <rFont val="Calibri"/>
        <family val="2"/>
        <charset val="204"/>
        <scheme val="minor"/>
      </rPr>
      <t>197 714,54грн</t>
    </r>
    <r>
      <rPr>
        <sz val="12"/>
        <color theme="1"/>
        <rFont val="Calibri"/>
        <family val="2"/>
        <charset val="204"/>
        <scheme val="minor"/>
      </rPr>
      <t xml:space="preserve">.; Листопад - по вул. Затишна в с. Нові Петрівці - </t>
    </r>
    <r>
      <rPr>
        <b/>
        <sz val="12"/>
        <color theme="1"/>
        <rFont val="Calibri"/>
        <family val="2"/>
        <charset val="204"/>
        <scheme val="minor"/>
      </rPr>
      <t>198 394,57грн</t>
    </r>
    <r>
      <rPr>
        <sz val="12"/>
        <color theme="1"/>
        <rFont val="Calibri"/>
        <family val="2"/>
        <charset val="204"/>
        <scheme val="minor"/>
      </rPr>
      <t xml:space="preserve">.; Грудень - по вул. Родинна в с. Нові Петрівці - </t>
    </r>
    <r>
      <rPr>
        <b/>
        <sz val="12"/>
        <color theme="1"/>
        <rFont val="Calibri"/>
        <family val="2"/>
        <charset val="204"/>
        <scheme val="minor"/>
      </rPr>
      <t>198 589,36грн</t>
    </r>
    <r>
      <rPr>
        <sz val="12"/>
        <color theme="1"/>
        <rFont val="Calibri"/>
        <family val="2"/>
        <charset val="204"/>
        <scheme val="minor"/>
      </rPr>
      <t xml:space="preserve">.;  </t>
    </r>
    <r>
      <rPr>
        <b/>
        <sz val="12"/>
        <color theme="1"/>
        <rFont val="Calibri"/>
        <family val="2"/>
        <charset val="204"/>
        <scheme val="minor"/>
      </rPr>
      <t>Поточний ремонт очисних споруд по пров 1го Травня</t>
    </r>
    <r>
      <rPr>
        <sz val="12"/>
        <color theme="1"/>
        <rFont val="Calibri"/>
        <family val="2"/>
        <charset val="204"/>
        <scheme val="minor"/>
      </rPr>
      <t xml:space="preserve">: Травень - </t>
    </r>
    <r>
      <rPr>
        <b/>
        <sz val="12"/>
        <color theme="1"/>
        <rFont val="Calibri"/>
        <family val="2"/>
        <charset val="204"/>
        <scheme val="minor"/>
      </rPr>
      <t>198 778,51грн</t>
    </r>
    <r>
      <rPr>
        <sz val="12"/>
        <color theme="1"/>
        <rFont val="Calibri"/>
        <family val="2"/>
        <charset val="204"/>
        <scheme val="minor"/>
      </rPr>
      <t>.; Липень -</t>
    </r>
    <r>
      <rPr>
        <b/>
        <sz val="12"/>
        <color theme="1"/>
        <rFont val="Calibri"/>
        <family val="2"/>
        <charset val="204"/>
        <scheme val="minor"/>
      </rPr>
      <t xml:space="preserve"> 198 399,61грн</t>
    </r>
    <r>
      <rPr>
        <sz val="12"/>
        <color theme="1"/>
        <rFont val="Calibri"/>
        <family val="2"/>
        <charset val="204"/>
        <scheme val="minor"/>
      </rPr>
      <t xml:space="preserve">.; Грудень - </t>
    </r>
    <r>
      <rPr>
        <b/>
        <sz val="12"/>
        <color theme="1"/>
        <rFont val="Calibri"/>
        <family val="2"/>
        <charset val="204"/>
        <scheme val="minor"/>
      </rPr>
      <t>197 834,02грн</t>
    </r>
    <r>
      <rPr>
        <sz val="12"/>
        <color theme="1"/>
        <rFont val="Calibri"/>
        <family val="2"/>
        <charset val="204"/>
        <scheme val="minor"/>
      </rPr>
      <t xml:space="preserve"> (аварійно-відновлювальні роботи згідно протоколу ТЕБ та НС)  </t>
    </r>
    <r>
      <rPr>
        <b/>
        <sz val="12"/>
        <color theme="1"/>
        <rFont val="Calibri"/>
        <family val="2"/>
        <charset val="204"/>
        <scheme val="minor"/>
      </rPr>
      <t xml:space="preserve">Поточний ремонт КНС: </t>
    </r>
    <r>
      <rPr>
        <sz val="12"/>
        <color theme="1"/>
        <rFont val="Calibri"/>
        <family val="2"/>
        <charset val="204"/>
        <scheme val="minor"/>
      </rPr>
      <t xml:space="preserve"> Червень - по вул. Бучанська в с.Нові Петрівці - </t>
    </r>
    <r>
      <rPr>
        <b/>
        <sz val="12"/>
        <color theme="1"/>
        <rFont val="Calibri"/>
        <family val="2"/>
        <charset val="204"/>
        <scheme val="minor"/>
      </rPr>
      <t>198 146,62грн</t>
    </r>
    <r>
      <rPr>
        <sz val="12"/>
        <color theme="1"/>
        <rFont val="Calibri"/>
        <family val="2"/>
        <charset val="204"/>
        <scheme val="minor"/>
      </rPr>
      <t xml:space="preserve">. </t>
    </r>
    <r>
      <rPr>
        <b/>
        <sz val="12"/>
        <color theme="1"/>
        <rFont val="Calibri"/>
        <family val="2"/>
        <charset val="204"/>
        <scheme val="minor"/>
      </rPr>
      <t>Розробка проектів землеустрою:</t>
    </r>
    <r>
      <rPr>
        <sz val="12"/>
        <color theme="1"/>
        <rFont val="Calibri"/>
        <family val="2"/>
        <charset val="204"/>
        <scheme val="minor"/>
      </rPr>
      <t xml:space="preserve"> Жовтень - ділянка 0,0888га в с.Старі Петрівці -</t>
    </r>
    <r>
      <rPr>
        <b/>
        <sz val="12"/>
        <color theme="1"/>
        <rFont val="Calibri"/>
        <family val="2"/>
        <charset val="204"/>
        <scheme val="minor"/>
      </rPr>
      <t>15 000грн</t>
    </r>
    <r>
      <rPr>
        <sz val="12"/>
        <color theme="1"/>
        <rFont val="Calibri"/>
        <family val="2"/>
        <charset val="204"/>
        <scheme val="minor"/>
      </rPr>
      <t>.; ділянка 0,3368га в с.Старі Петрівці -</t>
    </r>
    <r>
      <rPr>
        <b/>
        <sz val="12"/>
        <color theme="1"/>
        <rFont val="Calibri"/>
        <family val="2"/>
        <charset val="204"/>
        <scheme val="minor"/>
      </rPr>
      <t>15 000грн</t>
    </r>
    <r>
      <rPr>
        <sz val="12"/>
        <color theme="1"/>
        <rFont val="Calibri"/>
        <family val="2"/>
        <charset val="204"/>
        <scheme val="minor"/>
      </rPr>
      <t>.; ділянка 0,3518га в с.Старі Петрівці -</t>
    </r>
    <r>
      <rPr>
        <b/>
        <sz val="12"/>
        <color theme="1"/>
        <rFont val="Calibri"/>
        <family val="2"/>
        <charset val="204"/>
        <scheme val="minor"/>
      </rPr>
      <t>15 000грн</t>
    </r>
    <r>
      <rPr>
        <sz val="12"/>
        <color theme="1"/>
        <rFont val="Calibri"/>
        <family val="2"/>
        <charset val="204"/>
        <scheme val="minor"/>
      </rPr>
      <t xml:space="preserve">. </t>
    </r>
    <r>
      <rPr>
        <b/>
        <sz val="12"/>
        <color theme="1"/>
        <rFont val="Calibri"/>
        <family val="2"/>
        <charset val="204"/>
        <scheme val="minor"/>
      </rPr>
      <t>Поточний ремонт внутрішніх електромереж</t>
    </r>
    <r>
      <rPr>
        <sz val="12"/>
        <color theme="1"/>
        <rFont val="Calibri"/>
        <family val="2"/>
        <charset val="204"/>
        <scheme val="minor"/>
      </rPr>
      <t xml:space="preserve">: Листопад - по вул.Ново Київська 123 - </t>
    </r>
    <r>
      <rPr>
        <b/>
        <sz val="12"/>
        <color theme="1"/>
        <rFont val="Calibri"/>
        <family val="2"/>
        <charset val="204"/>
        <scheme val="minor"/>
      </rPr>
      <t>49 166,00грн</t>
    </r>
    <r>
      <rPr>
        <sz val="12"/>
        <color theme="1"/>
        <rFont val="Calibri"/>
        <family val="2"/>
        <charset val="204"/>
        <scheme val="minor"/>
      </rPr>
      <t xml:space="preserve">.; </t>
    </r>
    <r>
      <rPr>
        <b/>
        <sz val="12"/>
        <color theme="1"/>
        <rFont val="Calibri"/>
        <family val="2"/>
        <charset val="204"/>
        <scheme val="minor"/>
      </rPr>
      <t>Поточний ремонт водопровідної вежі</t>
    </r>
    <r>
      <rPr>
        <sz val="12"/>
        <color theme="1"/>
        <rFont val="Calibri"/>
        <family val="2"/>
        <charset val="204"/>
        <scheme val="minor"/>
      </rPr>
      <t xml:space="preserve">: Листопад - по вул. Промисловій в с.Старі Петрівці - </t>
    </r>
    <r>
      <rPr>
        <b/>
        <sz val="12"/>
        <color theme="1"/>
        <rFont val="Calibri"/>
        <family val="2"/>
        <charset val="204"/>
        <scheme val="minor"/>
      </rPr>
      <t>129 815,31 грн</t>
    </r>
    <r>
      <rPr>
        <sz val="12"/>
        <color theme="1"/>
        <rFont val="Calibri"/>
        <family val="2"/>
        <charset val="204"/>
        <scheme val="minor"/>
      </rPr>
      <t xml:space="preserve">.          </t>
    </r>
  </si>
  <si>
    <t>Капітальний ремонт зовнішніх водопровідних мереж по вул. Межигірська</t>
  </si>
  <si>
    <t>Капітальний ремонт зовнішніх водопровідних мереж по вул. Князя Святослава</t>
  </si>
  <si>
    <t>Капітальний ремонт водонапірного колектора стоків від вул. 1-го Травня до очисних споруд</t>
  </si>
  <si>
    <t>Виготовлення ПКД на капітальний ремонт мережі зовнішнього водопроводу по вул. Цвілія в с.Лютіж Вишгородського району Київської області</t>
  </si>
  <si>
    <t xml:space="preserve">Виготовлення ПКД на капітальний ремонт мережі зовнішнього водопроводу по вул. Власова, Героїв,Жовтнева  в с.Старі Петрівці  Вишгородського району Київської області </t>
  </si>
  <si>
    <t>Коригування ПКД  на капітальний ремонт напірного колектора стоків від вул. 1-гоТравня до очисних споруд в с.Нові Петрівці</t>
  </si>
  <si>
    <t>Коригування ПКД на будівництво водозабірного вузла по вул. Ново-Київська в с. Нові Петрівці</t>
  </si>
  <si>
    <t xml:space="preserve">Виготовлення ПКД на зовнішнє енергозабезпечення по вул. Межигірська в с.Нові Петрівці </t>
  </si>
  <si>
    <t xml:space="preserve">Придбання шафи керування глибинним носасом в с.Старі Петрівці </t>
  </si>
  <si>
    <t>Придбання  дизельгенератора  40 кВт</t>
  </si>
  <si>
    <t>:Придбання погружних фекальних насосів</t>
  </si>
  <si>
    <t>Виготовлення ПКД  на будівництво водозабірного вузла по вул. Межигірська в с.Нові Петрівці</t>
  </si>
  <si>
    <t>Придбання екскаватора навантажувача Caterpillar 432</t>
  </si>
  <si>
    <t>Придбання апарата УЗД X-CUBE 60 з датчиками</t>
  </si>
  <si>
    <t>"Розвиток комунального підприємства «Петрівський благоустрій» Петрівської сільської ради на 2023 рік"</t>
  </si>
  <si>
    <t>Комплектуючі вироби та деталі</t>
  </si>
  <si>
    <t>Насінневий матеріал</t>
  </si>
  <si>
    <t>Придбання бішофіту</t>
  </si>
  <si>
    <t>Придбання канцтоварів та паперу</t>
  </si>
  <si>
    <t>Придбання матеріалів, будматеріалів, інвентарю</t>
  </si>
  <si>
    <t>Придбання лакофарбних матеріалів</t>
  </si>
  <si>
    <t>Придбання рукавів та комплектуючих</t>
  </si>
  <si>
    <t>Придбання кущорізів</t>
  </si>
  <si>
    <t>шт.</t>
  </si>
  <si>
    <t>Придбання спецодягу</t>
  </si>
  <si>
    <t>Придбання ланцюгової бензопили</t>
  </si>
  <si>
    <t>Придбання бетонних блоків</t>
  </si>
  <si>
    <t>Придбання труб для відведення грунтових вод</t>
  </si>
  <si>
    <t>Придбання шин</t>
  </si>
  <si>
    <t>Ремонт і технічне обслуговування автотранспортних засобів</t>
  </si>
  <si>
    <t>Послуги автовишки</t>
  </si>
  <si>
    <t>Обслуговування офісної техніки, заправка картриджів</t>
  </si>
  <si>
    <t>Послуги з обслуговування фонтану</t>
  </si>
  <si>
    <t>Послуги з атестації робочих місць</t>
  </si>
  <si>
    <t>Послуги з ремонту та техобслуговування бензомоторної техніки</t>
  </si>
  <si>
    <t>Послуги маніпулятора</t>
  </si>
  <si>
    <t>Послуги з ремонту дитячого майданчику</t>
  </si>
  <si>
    <t>Послуги зв"язку та інтернету</t>
  </si>
  <si>
    <t>Послуги з медогляду працівників</t>
  </si>
  <si>
    <t>Придбання подрібнювача деревини</t>
  </si>
  <si>
    <t>Придбання екскаватора-навантажувача</t>
  </si>
  <si>
    <t>Придбання навісного обладнання для екскаватора-навантажувача</t>
  </si>
  <si>
    <t>Придбання спеціальний вантажний самоскид з відвалом та обладнанням для розкидання протиожеледної суміші</t>
  </si>
  <si>
    <t>Придбання пилорами стрічкової Фермер</t>
  </si>
  <si>
    <t>Придбання розкидача пісчано-сол.суміші для трактора</t>
  </si>
  <si>
    <t>Підтримки комунального некомерційного підприємства з рекультивації земель Старопетрівського сміттєзвалища "Петрівської сільської ради на 2023 рік"</t>
  </si>
  <si>
    <r>
      <t xml:space="preserve">Канцтовари - </t>
    </r>
    <r>
      <rPr>
        <b/>
        <sz val="11"/>
        <color theme="1"/>
        <rFont val="Calibri"/>
        <family val="2"/>
        <charset val="204"/>
        <scheme val="minor"/>
      </rPr>
      <t>3 034,27 грн</t>
    </r>
    <r>
      <rPr>
        <sz val="11"/>
        <color theme="1"/>
        <rFont val="Calibri"/>
        <family val="2"/>
        <charset val="204"/>
        <scheme val="minor"/>
      </rPr>
      <t xml:space="preserve">, ноутбук - </t>
    </r>
    <r>
      <rPr>
        <b/>
        <sz val="11"/>
        <color theme="1"/>
        <rFont val="Calibri"/>
        <family val="2"/>
        <charset val="204"/>
        <scheme val="minor"/>
      </rPr>
      <t>18 998,00 грн</t>
    </r>
    <r>
      <rPr>
        <sz val="11"/>
        <color theme="1"/>
        <rFont val="Calibri"/>
        <family val="2"/>
        <charset val="204"/>
        <scheme val="minor"/>
      </rPr>
      <t xml:space="preserve">, флеш USB  (2 шт) - </t>
    </r>
    <r>
      <rPr>
        <b/>
        <sz val="11"/>
        <color theme="1"/>
        <rFont val="Calibri"/>
        <family val="2"/>
        <charset val="204"/>
        <scheme val="minor"/>
      </rPr>
      <t>298,00 грн</t>
    </r>
    <r>
      <rPr>
        <sz val="11"/>
        <color theme="1"/>
        <rFont val="Calibri"/>
        <family val="2"/>
        <charset val="204"/>
        <scheme val="minor"/>
      </rPr>
      <t xml:space="preserve">, мишка - </t>
    </r>
    <r>
      <rPr>
        <b/>
        <sz val="11"/>
        <color theme="1"/>
        <rFont val="Calibri"/>
        <family val="2"/>
        <charset val="204"/>
        <scheme val="minor"/>
      </rPr>
      <t>159,00 грн</t>
    </r>
    <r>
      <rPr>
        <sz val="11"/>
        <color theme="1"/>
        <rFont val="Calibri"/>
        <family val="2"/>
        <charset val="204"/>
        <scheme val="minor"/>
      </rPr>
      <t xml:space="preserve">, бензопила - </t>
    </r>
    <r>
      <rPr>
        <b/>
        <sz val="11"/>
        <color theme="1"/>
        <rFont val="Calibri"/>
        <family val="2"/>
        <charset val="204"/>
        <scheme val="minor"/>
      </rPr>
      <t>6 519,00 грн</t>
    </r>
    <r>
      <rPr>
        <sz val="11"/>
        <color theme="1"/>
        <rFont val="Calibri"/>
        <family val="2"/>
        <charset val="204"/>
        <scheme val="minor"/>
      </rPr>
      <t xml:space="preserve">, масло до бензопили - </t>
    </r>
    <r>
      <rPr>
        <b/>
        <sz val="11"/>
        <color theme="1"/>
        <rFont val="Calibri"/>
        <family val="2"/>
        <charset val="204"/>
        <scheme val="minor"/>
      </rPr>
      <t>435,00 грн</t>
    </r>
  </si>
  <si>
    <r>
      <t xml:space="preserve">Електронні ключі - </t>
    </r>
    <r>
      <rPr>
        <b/>
        <sz val="11"/>
        <color theme="1"/>
        <rFont val="Calibri"/>
        <family val="2"/>
        <charset val="204"/>
        <scheme val="minor"/>
      </rPr>
      <t>1 700,00 грн</t>
    </r>
    <r>
      <rPr>
        <sz val="11"/>
        <color theme="1"/>
        <rFont val="Calibri"/>
        <family val="2"/>
        <charset val="204"/>
        <scheme val="minor"/>
      </rPr>
      <t xml:space="preserve">, ІПК "Місцевий бюджет" - </t>
    </r>
    <r>
      <rPr>
        <b/>
        <sz val="11"/>
        <color theme="1"/>
        <rFont val="Calibri"/>
        <family val="2"/>
        <charset val="204"/>
        <scheme val="minor"/>
      </rPr>
      <t>2 900,00 грн</t>
    </r>
    <r>
      <rPr>
        <sz val="11"/>
        <color theme="1"/>
        <rFont val="Calibri"/>
        <family val="2"/>
        <charset val="204"/>
        <scheme val="minor"/>
      </rPr>
      <t xml:space="preserve">, програма "М.Е.Doc" - </t>
    </r>
    <r>
      <rPr>
        <b/>
        <sz val="11"/>
        <color theme="1"/>
        <rFont val="Calibri"/>
        <family val="2"/>
        <charset val="204"/>
        <scheme val="minor"/>
      </rPr>
      <t>3 773,00 грн</t>
    </r>
    <r>
      <rPr>
        <sz val="11"/>
        <color theme="1"/>
        <rFont val="Calibri"/>
        <family val="2"/>
        <charset val="204"/>
        <scheme val="minor"/>
      </rPr>
      <t xml:space="preserve">, послуги з пожежогасіння - </t>
    </r>
    <r>
      <rPr>
        <b/>
        <sz val="11"/>
        <color theme="1"/>
        <rFont val="Calibri"/>
        <family val="2"/>
        <charset val="204"/>
        <scheme val="minor"/>
      </rPr>
      <t>493 206,00 грн.</t>
    </r>
  </si>
  <si>
    <t>Придбання побутового вагончика</t>
  </si>
  <si>
    <r>
      <t>«Фінансова підтримка комунального підприємства "Петрівський комбінат комунальних послуг</t>
    </r>
    <r>
      <rPr>
        <sz val="12"/>
        <color theme="1"/>
        <rFont val="Calibri"/>
        <family val="2"/>
        <charset val="204"/>
        <scheme val="minor"/>
      </rPr>
      <t>"</t>
    </r>
    <r>
      <rPr>
        <b/>
        <sz val="12"/>
        <color theme="1"/>
        <rFont val="Calibri"/>
        <family val="2"/>
        <charset val="204"/>
        <scheme val="minor"/>
      </rPr>
      <t xml:space="preserve"> на 2023рік» </t>
    </r>
  </si>
  <si>
    <r>
      <t xml:space="preserve"> вогнезахисна обробка деревини даху будівлі Поліклініки за адресою вул. Соборна,78 - </t>
    </r>
    <r>
      <rPr>
        <b/>
        <sz val="12"/>
        <color theme="1"/>
        <rFont val="Calibri"/>
        <family val="2"/>
        <charset val="204"/>
        <scheme val="minor"/>
      </rPr>
      <t>112 373,00 грн.</t>
    </r>
  </si>
  <si>
    <t xml:space="preserve">від    року №  </t>
  </si>
  <si>
    <r>
      <rPr>
        <b/>
        <sz val="12"/>
        <color theme="1"/>
        <rFont val="Calibri"/>
        <family val="2"/>
        <charset val="204"/>
        <scheme val="minor"/>
      </rPr>
      <t>КЗ "Петрик"</t>
    </r>
    <r>
      <rPr>
        <sz val="12"/>
        <color theme="1"/>
        <rFont val="Calibri"/>
        <family val="2"/>
        <charset val="204"/>
        <scheme val="minor"/>
      </rPr>
      <t xml:space="preserve">: пальне - 19 946,50 грн., канцелярські товари -147 720,64,грн., господарчі товари+ хімія -200 776,38 грн., текстиль подушки, одіяла - 157 500грн., стерилізатор яєць- 15 814 грн., таблички на укриття - 5 950 грн., мережеве та компютерне обладнання  - 44 592 грн., дивани та лавки в найпростіше укриття - 101 900 грн., ареатор -скарифікатор -19 000 грн., розкидач насіння та добрив -6 500 грн., килимки гумові -17 654,14 грн., ємкості для зберігання продуктів харчування - 89 737,15 грн., дитячі ліжка з матрацами -374 400 грн., козирьки вуличні - 99 899,74грн., візки сервірувальні - 112 396,86 грн., мотопила ШТІЛЬ - 13 599 грн., візки та будівельна тачка - 11 839,01 грн., будівельні матеріали для виконання робіт господарським способом -131 924,12 грн., водонагрівач -19 100 грн., римські штори та ролети - 250 488,39 грн., баки для сміття - 27 454,74 грн., пакети для пакування продуктів харчування - 8 347,4 грн., тепловентилятори для найпростішого укриття - 144 480 грн., столи та полиці для кабінетів - 50 000грн., іграшки - 28 771,09 грн., гастроємкості - 7 767,31 грн., пускозарядний пристрій - 5 700 грн., візок для вологого прибирання - 10 632 грн., стелажі в холодильну камеру - 63 635 грн., шланг садовий - 46 188 грн.; </t>
    </r>
    <r>
      <rPr>
        <b/>
        <sz val="12"/>
        <color theme="1"/>
        <rFont val="Calibri"/>
        <family val="2"/>
        <charset val="204"/>
        <scheme val="minor"/>
      </rPr>
      <t>КЗ "Пролісок"</t>
    </r>
    <r>
      <rPr>
        <sz val="12"/>
        <color theme="1"/>
        <rFont val="Calibri"/>
        <family val="2"/>
        <charset val="204"/>
        <scheme val="minor"/>
      </rPr>
      <t xml:space="preserve">: пальне - 23 196 грн., канцелярські товари - 18 097,75 грн., господарчі товари+ хімія - 56 908,83 грн., придбання меблів - 172 100 грн., екстиль подушки, одіяла -13 865 грн., будівельні матеріали для виконання робіт господарським способом -28 151,29 грн., електричне приладдя - 31 568 грн., котел газовий  - 33 444 грн., спортивний інвентар - 46 550 грн.; </t>
    </r>
    <r>
      <rPr>
        <b/>
        <sz val="12"/>
        <color theme="1"/>
        <rFont val="Calibri"/>
        <family val="2"/>
        <charset val="204"/>
        <scheme val="minor"/>
      </rPr>
      <t>КЗ "Барвінок"</t>
    </r>
    <r>
      <rPr>
        <sz val="12"/>
        <color theme="1"/>
        <rFont val="Calibri"/>
        <family val="2"/>
        <charset val="204"/>
        <scheme val="minor"/>
      </rPr>
      <t xml:space="preserve">: пальне - 5 499 грн., масло (олива) для бензопили - 3 255,48 грн., знаряддя для бензопили - 7 166,28 грн., канцелярські товари - 17 894,54 грн., господарчі товари+ хімія - 52 132,5 грн., вогнегасник - 3 096 грн., вода питна (бутильована) - 2 442 грн., газонокосарка - 19 999,02 грн., текстиль подушки, одіяла - 14 295 грн., ліхтарі переносні - 6 952,03 грн., будівельні матеріали для виконання робіт господарським способом - 10 805 грн., електричне приладдя - 105 462,08 грн.. </t>
    </r>
  </si>
  <si>
    <r>
      <rPr>
        <b/>
        <sz val="12"/>
        <color theme="1"/>
        <rFont val="Calibri"/>
        <family val="2"/>
        <charset val="204"/>
        <scheme val="minor"/>
      </rPr>
      <t>КЗ "Петрик"</t>
    </r>
    <r>
      <rPr>
        <sz val="12"/>
        <color theme="1"/>
        <rFont val="Calibri"/>
        <family val="2"/>
        <charset val="204"/>
        <scheme val="minor"/>
      </rPr>
      <t>: послуги звязку та інтернету - 34 029,2 грн., поточний ремонт укриття - 790 176,84 грн., повірка лічильників - 25 000 грн., вимір опору ізоляції - 13 988 грн., медогляд працівників - 70 559,97 грн., інформаційно-технологічний супровід - 23 570 грн., облаштування вентиляції -4 102 грн, тривожна кнопка -1 200 грн., повірки вимірювання техніки - 8 226 грн.,  підготовка котельного  обладнання - 18 000 грн., послуги з  використання є журналу - 32 000 грн., послуги по ремонту холодильника -11 200 грн., вивіз сміття -3 806,27 грн., атестація робочих місць -5 100 грн., оренда дизельного генератора - 240 000 грн., налаштування роботи локальної комп"ютерної мережі - 70 000 грн., мікробіологічні проби води -1 321 грн., послуги дезінфекції, дератизації - 7 000 грн.,  технічне обслуговування: офісної техніки - 135 320 грн., обслуговування газопроводів - 9 972 грн., обслуговування вузла обліку газа - 7 800 грн., газового обладнання - 20 000 грн., димових каналів, систем вентиляції, пожежної сигналізації - 20 000 грн., перезарядка вогнегасників - 5 100 грн., обслуговування внутрішніх електромереж - 95 000 грн., з технічного обслуговування електричного устаткування - 99 000 грн.;</t>
    </r>
    <r>
      <rPr>
        <b/>
        <sz val="12"/>
        <color theme="1"/>
        <rFont val="Calibri"/>
        <family val="2"/>
        <charset val="204"/>
        <scheme val="minor"/>
      </rPr>
      <t xml:space="preserve"> КЗ "Пролісок"</t>
    </r>
    <r>
      <rPr>
        <sz val="12"/>
        <color theme="1"/>
        <rFont val="Calibri"/>
        <family val="2"/>
        <charset val="204"/>
        <scheme val="minor"/>
      </rPr>
      <t xml:space="preserve">: послуги звязку та інтернету - 14  367,37 грн., послуги охорони - 978 грн., сигналізація загазованості - 2 900 грн., поточний ремонт укриття - 90 087,58 грн., повірка лічильників - 4 500 грн., медогляд працівників - 37 009,33 грн., інформаційно-консултаційні послуги з програмним забезпеченням - 16 020 грн., тривожна кнопка - 7 651 грн., підготовка котельного  обладнання - 4 330 грн., послуги з облаштування майданчика під швидко споруджене найпростіше укриття - 53 667,6 грн., послуги з  використання є журналу - 21 358 грн., послуги асинізатора -18 400 грн., діагностика систем блискавкозахисту - 3 680 грн., Поточний ремонт КЗДО "Пролісок" - 80 997,6 грн., послуги дезінфекції, дератизації - 6 000 грн., технічне обслуговування: офісної техніки - 2 500 грн., газового обладнання - 3 537,22 грн.,  димових каналів, систем вентиляції - 6 950 грн., протипожежних засобів - 6 000 грн.; </t>
    </r>
    <r>
      <rPr>
        <b/>
        <sz val="12"/>
        <color theme="1"/>
        <rFont val="Calibri"/>
        <family val="2"/>
        <charset val="204"/>
        <scheme val="minor"/>
      </rPr>
      <t>КЗ "Барвінок":</t>
    </r>
    <r>
      <rPr>
        <sz val="12"/>
        <color theme="1"/>
        <rFont val="Calibri"/>
        <family val="2"/>
        <charset val="204"/>
        <scheme val="minor"/>
      </rPr>
      <t xml:space="preserve"> послуги звязку та інтернету - 6 198 грн., програмне забезпечення - 1 450 грн., поточний ремонт укриття(гідроізоляція покрівлі) - 90 087,58 грн., вогнезахисна обробка дер.конструкцій даху(покрівельних приміщень) - 99 960 грн., поточний ремонт майданчиків та павільйонів - 197 328 грн., вимір опору - 7 000 грн., медогляд працівників - 36 731,51 грн., інформаційно-консултаційні послуги з програмним забезпеченням - 15 132 грн., тривожна кнопка - 8 651 грн., перезарядка вогнегасників - 3 000 грн., придбання компьютерної програми КВС - 23 400 грн., послуги з  використання є журналу - 11 572 грн., спостереження пожежної сигналізації - 7 200 грн., послуги дезінфекції, дератизації - 10 000 грн., технічне обслуговування: офісної техніки - 32 800 грн., дизельної електростанції - 11 869,90 грн., пожежної сигналізації - 9 600 грн..</t>
    </r>
  </si>
  <si>
    <r>
      <rPr>
        <b/>
        <sz val="11"/>
        <color theme="1"/>
        <rFont val="Calibri"/>
        <family val="2"/>
        <charset val="204"/>
        <scheme val="minor"/>
      </rPr>
      <t>Новопетрівський ліцей:</t>
    </r>
    <r>
      <rPr>
        <sz val="11"/>
        <color theme="1"/>
        <rFont val="Calibri"/>
        <family val="2"/>
        <charset val="204"/>
        <scheme val="minor"/>
      </rPr>
      <t xml:space="preserve"> дивани для учнів на 1 та 2 поверх в коридор-20шт. -52 400,00грн., дошка для нарізки по НАССРдля організації харчування учнів - 6 260,00 грн., ножі поварські по НАССР 10 шт. - 4 220,00грн, кухонний термометр--1 260,00 грн., гігрометр психрометричний ВІТ по НАССР -420,00грн., пірометр інфрачервоний по НАССР - 1 340,00 грн., контейнер харчовий з кришкою -600,00 грн., саморіз для г/к в метал 1000шт-430,00 грн., дюбель з гриб.комірцем забивний 300шт-380,86 грн., папір шліфувальний-21шт-791,00грн., гофротруба сантехнічна -1565,72 грн., насос дринажний-2602,66 грн., веб камери - 4 050,00грн, придбання канцтоварів для першокласників - 24 788,60 грн., обігрівач керамічний 3шт. -8 101,20 грн., світлодіодний світильник--862,40 грн., господарчі товари на суму 1 673,08 грн ,матеріали для проведення поточного ремонту - 11 887,87грн., стілець учнівський-132 шт. - 125 400,00 грн., стіл учнівський двомісний з поліуретановою крайкою 96 шт.- 266 400,00грн., стіл вчителя 14 шт. - 30 800,00 грн., тумба мобільна 14 шт. - 15 400,00 грн., лінолеум 47м. - 15 366,18 грн., металопластикові двері в класи 5 шт. - 112 414,90 грн., плити для підвісної стелі  АМФ плита 1000 шт. - 89 960,00 грн., комплектуючі для підвісмної стелі АМТТ Т профіль ,підвіс пружинний ,стрижень з кільцем,стрижень з гаком,кут притискаючий - 96 364,20 грн., ЛЕД світильники для підвісної стелі- 20 шт. - 8 286,40грн., столи учнівські,стінка учбова,вішалка з тумбою,шафа для документів закрита,  стіл для вчителя кутовий  -41 730,00 грн., обладнання для класу Безпеки - 88 041,00 грн., миючі та чистящі засоби -2 137,60грн., канцтовари 19 833,05 грн., системний блок 2шт. - 27 000,00 грн., монітор 3 шт. - 16 500,00 грн., принтер - 5 925,00 грн., полиця для кубків - 24 000,00 грн., форма для військово патріотичного виховання учнів для участі у грі "Джуура"-на суму 58 600,00 грн.; </t>
    </r>
    <r>
      <rPr>
        <b/>
        <sz val="11"/>
        <color theme="1"/>
        <rFont val="Calibri"/>
        <family val="2"/>
        <charset val="204"/>
        <scheme val="minor"/>
      </rPr>
      <t xml:space="preserve">Новопетрівська гімназія № 2 : </t>
    </r>
    <r>
      <rPr>
        <sz val="11"/>
        <color theme="1"/>
        <rFont val="Calibri"/>
        <family val="2"/>
        <charset val="204"/>
        <scheme val="minor"/>
      </rPr>
      <t xml:space="preserve">оплата за вогнегасники ВП 5 - 1 944,90 грн., оплата за офісне устаткування та приладдя різне - 21 611,15 грн., розвивальні ігри для облаштування споруд цивільного захисту (укриття) в підвальному приміщенні гімназії - 13 420,00 грн.,  папки та плівка конвертна - 11 027,25 грн., стрічка ПВХ-20 100,00 грн., туалет - 19 400,45грн.; </t>
    </r>
    <r>
      <rPr>
        <b/>
        <sz val="11"/>
        <color theme="1"/>
        <rFont val="Calibri"/>
        <family val="2"/>
        <charset val="204"/>
        <scheme val="minor"/>
      </rPr>
      <t xml:space="preserve">Новопетрівська гімназія № 1 </t>
    </r>
    <r>
      <rPr>
        <sz val="11"/>
        <color theme="1"/>
        <rFont val="Calibri"/>
        <family val="2"/>
        <charset val="204"/>
        <scheme val="minor"/>
      </rPr>
      <t xml:space="preserve">: фарба для ремонтних робіт 49 739,03 грн., вогнегасники 9 600грн.; </t>
    </r>
    <r>
      <rPr>
        <b/>
        <sz val="11"/>
        <color theme="1"/>
        <rFont val="Calibri"/>
        <family val="2"/>
        <charset val="204"/>
        <scheme val="minor"/>
      </rPr>
      <t xml:space="preserve">Петрівський ліцей : </t>
    </r>
    <r>
      <rPr>
        <sz val="11"/>
        <color theme="1"/>
        <rFont val="Calibri"/>
        <family val="2"/>
        <charset val="204"/>
        <scheme val="minor"/>
      </rPr>
      <t xml:space="preserve">пальне - 99 750 грн., канцелярські товари - 90 661,15 грн., господарчі товари+ хімія - 76 795,1 грн., придбання меблів - 311 650 грн., ламінатори - 5 200 грн., вогнегасники - 3241,50 грн., мережеве та компютерне обладнання обладнання - 31 215 грн., придбання коркових дошок - 15 000 грн., придбання спец.одягу - 12 860 грн., будівельні матеріали для виконання робіт господарським способом - 232 557,22 грн., електричне приладдя - 114 176,25 грн., товари для облаштування укриття - 54 736,5 грн., обладнення для газових,тепло мереж - 17 464 грн.; </t>
    </r>
    <r>
      <rPr>
        <b/>
        <sz val="11"/>
        <color theme="1"/>
        <rFont val="Calibri"/>
        <family val="2"/>
        <charset val="204"/>
        <scheme val="minor"/>
      </rPr>
      <t xml:space="preserve">Лютізький ліцей : </t>
    </r>
    <r>
      <rPr>
        <sz val="11"/>
        <color theme="1"/>
        <rFont val="Calibri"/>
        <family val="2"/>
        <charset val="204"/>
        <scheme val="minor"/>
      </rPr>
      <t xml:space="preserve"> канцтовари-42 203,85 грн., побутова хімія-23 118,35 грн., лакофарбована подукція-14 909,40 грн., мотопила-13 599,00грн;, дивани-74 160,00грн., газонокосарка-20 999,00грн., паливо-49 875,00грн., стелажі-21 075,00грн., шліфмашина,рубанок,лобзік,точило-11 464,86грн., килим-1 632,80грн., принтер-7 999,00грн., знаряддя праці 12 463,45грн..
</t>
    </r>
  </si>
  <si>
    <r>
      <t xml:space="preserve">Новопетрівський ліцей: </t>
    </r>
    <r>
      <rPr>
        <sz val="11"/>
        <color theme="1"/>
        <rFont val="Calibri"/>
        <family val="2"/>
        <charset val="204"/>
        <scheme val="minor"/>
      </rPr>
      <t xml:space="preserve">поточний ремонт БФП CanonMF742 -4 250,00 грн., поточний ремонт БФП CanonIR2606 -4 800,00 грн., поточний ремонт системних блоків -9 000,00грн., технічні умови для реконструкції газової котельні-3 222,48 грн.,заправка вогнегасників 15 шт-2 850,00грн., оренда нежитлового приміщення (дит садок Петрик) для очного навчання початкової школи -105 611,39 грн., інтернет-16 800,00 грн., охорона(тривожна кнопка)-1200,00 грн., оренда газорозподільних складових АТ "Кивоблгаз" -2 665 ,48 грн., поточний ремонт ноутбука Леново-2 700,00грн., за послуги з обслуговування програмного забезпечення-35 865,00 грн., розширення зони обслуговування тривожної кнопки-647,32 грн., поточний ремонт паркана з виготовленням металевих конструкцій 197 993,35грн., тех.нагляд за капітальний ремонт електрощитової-4 955,00грн., придбання бухгалтерського програмного забезпечення KBS-9 900,00 грн., тех обслуговування димових каналів та вентиляції в котельні-4 500,00 грн., програмне забезпечення Курс Школа обслуговування-1 750,00 грн., виміри опору еленктроізоляції в приміщенні ліцею та котельні-9 000,00 грн., утилізація люмінесцетних відпрацьованих ламп-8 400,00грн., облгаз оренда газорозподільчого обладнання - 3 736,91 грн., технічне обслуговування газової котельні на опалювальний сезон 2023-2024рр,-18 000,00 грн., повірка газового сигналізатора 746,40 грн., лабораторні проби води -1 578,03 грн., механічна чистка газових котлів -20 000,00 грн., заправка та відновлення картриджів-на суму 8 483,40 грн.; </t>
    </r>
    <r>
      <rPr>
        <b/>
        <sz val="11"/>
        <color theme="1"/>
        <rFont val="Calibri"/>
        <family val="2"/>
        <charset val="204"/>
        <scheme val="minor"/>
      </rPr>
      <t xml:space="preserve">Новопетрівська гімназія №2: </t>
    </r>
    <r>
      <rPr>
        <sz val="11"/>
        <color theme="1"/>
        <rFont val="Calibri"/>
        <family val="2"/>
        <charset val="204"/>
        <scheme val="minor"/>
      </rPr>
      <t xml:space="preserve">послуги охорони -1 200,00 грн., ТО газопров. та газ.обладнан. за 2023 рік - 8 224,00 грн., оплату послуг з адміністрування (обслуговування) програмного забезпечення -37 258,00 грн., оплату послуг з утримання та обслуговування електромереж - 8 000,00 грн., оплату послуг з перезарядки вогнегасників - 3 244,00 грн., ТО вентил. систем та димових каналів - 4 500,00 грн., сигналізація загазованості в примищені  топкової ТО газового котла - 9 820,0грн., послуг з оренди нежитлових приміщ -12 760,76 грн., дератизація  - 10 000,00грн., поточний ремонт електрич. систем. в спорт.залі  - 100 083,00 грн.,  обслуговування Парус Зарплата - 3 768 грн., обслуговування КБС на 2024 рік - 17 320,00 грн., заправка картриджів - 5 000,00 грн., технагляду на об'єкті "капітал.ремонт вхід.груп та санвузла - 6 262,56грн., технагляду на об'єкті "улаштування систем. блискавкозахист - 5 096,02 грн.; </t>
    </r>
    <r>
      <rPr>
        <b/>
        <sz val="11"/>
        <color theme="1"/>
        <rFont val="Calibri"/>
        <family val="2"/>
        <charset val="204"/>
        <scheme val="minor"/>
      </rPr>
      <t>Новопетрівська гінмазія №1:</t>
    </r>
    <r>
      <rPr>
        <sz val="11"/>
        <color theme="1"/>
        <rFont val="Calibri"/>
        <family val="2"/>
        <charset val="204"/>
        <scheme val="minor"/>
      </rPr>
      <t xml:space="preserve"> інтернет 3 900грн., програмне забезпечення -49 703 грн, охорона- 1 000 грн., оренда примішення 16 068,98 грн., Е-журнал -4 500грн., ПЗ ІПК Місцевий бюджет -2 900 грн., технічне обслуговування газ системи 7 577,82 грн., ПЗ "Курс" 2 450,00 грн., Повірка та обслуговування вузла газу 19 120 грн.; </t>
    </r>
    <r>
      <rPr>
        <b/>
        <sz val="11"/>
        <color theme="1"/>
        <rFont val="Calibri"/>
        <family val="2"/>
        <charset val="204"/>
        <scheme val="minor"/>
      </rPr>
      <t xml:space="preserve">Петрівський ліцей: </t>
    </r>
    <r>
      <rPr>
        <sz val="11"/>
        <color theme="1"/>
        <rFont val="Calibri"/>
        <family val="2"/>
        <charset val="204"/>
        <scheme val="minor"/>
      </rPr>
      <t xml:space="preserve">послуги звязку та інтернету - 23 396,31 грн., програмне забезпечення - 8 150 грн., послуги охорони - 2 047,32 грн., перезарядка вогнегасникі - 8 502 грн., поточний ремонт укриття - 289 978,83 грн., поточний ремонт санвузлів - 142 914 грн., демонтаж ігрового майданчика - 94 833,46 грн., ремонт газолічильника - 4 000 грн., вимір опору - 18 800 грн., медогляд працівників - 34 480 грн., інформаційно-консултаційні послуги з програмним забезпеченням - 9 000 грн., підготовка котельного  обладнання 49 800 грн., послуги з  використання є журналу 6 000 грн., послуги асинізатора 40 800 грн., благоустрій пришкільної території(вивіз грунту) - 40 000 грн., послуги дезінфекції, дератизації - 12 000 грн., технічне обслуговування: офісної техніки - 39 000,8 грн., газового обладнання - 32 238,58 грн., протипожежних засобів - 56 227,29 грн., шкільного автобуса - 14 200,8 грн.; </t>
    </r>
    <r>
      <rPr>
        <b/>
        <sz val="11"/>
        <color theme="1"/>
        <rFont val="Calibri"/>
        <family val="2"/>
        <charset val="204"/>
        <scheme val="minor"/>
      </rPr>
      <t xml:space="preserve">Лютіжський ліцей: </t>
    </r>
    <r>
      <rPr>
        <sz val="11"/>
        <color theme="1"/>
        <rFont val="Calibri"/>
        <family val="2"/>
        <charset val="204"/>
        <scheme val="minor"/>
      </rPr>
      <t>дератизація, санстанція - 9 004,03 грн., встановлення вентиляційних систем - 72 995,41 грн., оренда автобуса - 90 000 грн., заправка катриджів - 14 820,02 грн., монтаж встановлення теплогенератора - 187 759,24 грн., обслуговування газопроводів - 21 297,11 грн., майданчик для твердого палива - 151 197,91 грн., навіс для генератора - 94 699,55 грн., обслуговування твердопаливного котла - 51 000 грн., послуги звязку та інтернету - 6 480 грн., програмне забезпечення - 9 300 грн., технагляд пожежної сигналізації - 12 000 грн., обслуговування сигналізації - 49 567 ,92 грн., вимір опору - 15 500 грн., тривожна кнопка - 1 200 грн..</t>
    </r>
  </si>
  <si>
    <r>
      <rPr>
        <b/>
        <sz val="12"/>
        <color theme="1"/>
        <rFont val="Calibri"/>
        <family val="2"/>
        <charset val="204"/>
        <scheme val="minor"/>
      </rPr>
      <t xml:space="preserve">Новопетрівський ліцей: </t>
    </r>
    <r>
      <rPr>
        <sz val="12"/>
        <color theme="1"/>
        <rFont val="Calibri"/>
        <family val="2"/>
        <charset val="204"/>
        <scheme val="minor"/>
      </rPr>
      <t xml:space="preserve">оплата стипендій - 146 000,00 грн.; </t>
    </r>
    <r>
      <rPr>
        <b/>
        <sz val="12"/>
        <color theme="1"/>
        <rFont val="Calibri"/>
        <family val="2"/>
        <charset val="204"/>
        <scheme val="minor"/>
      </rPr>
      <t>Новопетрівська гімназія №2</t>
    </r>
    <r>
      <rPr>
        <sz val="12"/>
        <color theme="1"/>
        <rFont val="Calibri"/>
        <family val="2"/>
        <charset val="204"/>
        <scheme val="minor"/>
      </rPr>
      <t xml:space="preserve">: виплата стипендії 2 400 грн.; Новопетрівська гімназія №1: виплата стипендії -2 400грн.; </t>
    </r>
    <r>
      <rPr>
        <b/>
        <sz val="12"/>
        <color theme="1"/>
        <rFont val="Calibri"/>
        <family val="2"/>
        <charset val="204"/>
        <scheme val="minor"/>
      </rPr>
      <t>Петрівський ліцей</t>
    </r>
    <r>
      <rPr>
        <sz val="12"/>
        <color theme="1"/>
        <rFont val="Calibri"/>
        <family val="2"/>
        <charset val="204"/>
        <scheme val="minor"/>
      </rPr>
      <t xml:space="preserve">:  виплата стипендії 33 600 грн.; </t>
    </r>
    <r>
      <rPr>
        <b/>
        <sz val="12"/>
        <color theme="1"/>
        <rFont val="Calibri"/>
        <family val="2"/>
        <charset val="204"/>
        <scheme val="minor"/>
      </rPr>
      <t>Лютіжський ліцей</t>
    </r>
    <r>
      <rPr>
        <sz val="12"/>
        <color theme="1"/>
        <rFont val="Calibri"/>
        <family val="2"/>
        <charset val="204"/>
        <scheme val="minor"/>
      </rPr>
      <t>: виплата стипендії 28 500 грн.</t>
    </r>
  </si>
  <si>
    <t>Придбання настільного куттера</t>
  </si>
  <si>
    <t>Придбання компресорно-конденсаторного холодильного агрегату</t>
  </si>
  <si>
    <t>Придбання м’ясорубки промислової</t>
  </si>
  <si>
    <t>Придбання  генератора  Matari МВ 120кВт</t>
  </si>
  <si>
    <t>Придбання навісів (3 шт)</t>
  </si>
  <si>
    <t>Придбання снігоприбиральної техніки</t>
  </si>
  <si>
    <t>Придбання плити 4-х комфорочна з духовкою</t>
  </si>
  <si>
    <t>Придбання шафи  жарочної</t>
  </si>
  <si>
    <t>Придбання сковорідки електричної</t>
  </si>
  <si>
    <t xml:space="preserve">Придбання шафи холодильної </t>
  </si>
  <si>
    <t>Придбання овочерізки</t>
  </si>
  <si>
    <t>Придбання м»ясорубки</t>
  </si>
  <si>
    <t>Придбання інтерактивних дошок Intboard</t>
  </si>
  <si>
    <t>Придбання проектора короткофокусного Optoma</t>
  </si>
  <si>
    <t>Придбання верстака деревообробного багатофункціонального TVK MB 503 B</t>
  </si>
  <si>
    <t>Придбання  деревообробного токарного верстата FDB Maschinen DB1218 (550 Вт)</t>
  </si>
  <si>
    <t>Придбання кухонного вентилятора</t>
  </si>
  <si>
    <t>Придбання повітроводи і фасонні вироби</t>
  </si>
  <si>
    <t>Матеріальне забезпеченнч дітей-сиріт та дітей позбавлених батьківського піклування на території Петрівської сільської територіальної громади на 2023 рік"</t>
  </si>
  <si>
    <t xml:space="preserve">Новопетрівський ліцей </t>
  </si>
  <si>
    <t>Новопетрівська гімназія №2</t>
  </si>
  <si>
    <t xml:space="preserve">          У зв'язку з військовою агресією російської федерації та введенням військового стану на території України  програму виконано лише на 75 відсотків від запланованих видатків на 2023 рік. </t>
  </si>
  <si>
    <t>об’єктів комунальної власності Петрівської сільської територіальної  громади на 2023 рік»</t>
  </si>
  <si>
    <t xml:space="preserve">У 2023 році фактичні видатки на Програму склали:  </t>
  </si>
  <si>
    <t>Капітальний ремонт санвузла в в КЗДО(ясла-садочок)КТ»Пролісок»</t>
  </si>
  <si>
    <t>Облаштування найпростішого укриття  в  КЗДО (ясла- садочок»КП» Петрик»</t>
  </si>
  <si>
    <t>Ремонтні роботи з усунення аварій (капітальний ремонт)  аварійного приміщення (праве крило) в КЗДО (ясла-садочок КП"Пролісок")</t>
  </si>
  <si>
    <t>Капітальний ремонт  спальні та коридорів (праве крило) в КЗДО(ЯС)КТ «Пролісок»</t>
  </si>
  <si>
    <t>Капітальний ремонт вогнезахисту дерев»яних конструкцій горища в КЗДО(ЯС)КТ «Петрик»</t>
  </si>
  <si>
    <t>Виготовлення ПКД на капітальний ремонт приміщень в КЗДО(ЯС)КТ"Пролісок"</t>
  </si>
  <si>
    <t>Улаштування дитячих ігрових майданчиків та павільйону в КЗДО ЦРЛ »Барвінок»</t>
  </si>
  <si>
    <t>Виконання робіт з монтажу та пусконалагоджених робіт системи блисковозахисту в КЗДО ЦРЛ "Барвінок"</t>
  </si>
  <si>
    <t>Капітальний ремонт санвузлів на першому поверсі в Старопетрівському  ліцею</t>
  </si>
  <si>
    <t>Капітальний ремонт пожежної сигналізації Лютізького ліцею Петрівської сільської ради</t>
  </si>
  <si>
    <t>Капітальний ремонт приміщення електрощитової Новопетрівського ліцею</t>
  </si>
  <si>
    <t>Коригування ПКД на капітальний ремонт з благоустроєм Лютізького ліцею Петрівської сільської ради</t>
  </si>
  <si>
    <t>Капітальний ремонт санвузлів 1-го поверху Лютізького ліцею</t>
  </si>
  <si>
    <t>Капітальний ремонт санвузла 2-го поверху в Петрівському ліцею</t>
  </si>
  <si>
    <t>Капітальний ремонт вхідної групи та санвузла в Новопетрівській гімназії №2</t>
  </si>
  <si>
    <t>Експертиза на капітальний ремонт з заходами енергозбереження , енергоефективності, термомодернізацією  Новопетрівської гімназії №1 Петрівської сільської ради за адресою Київська область, Вишгородський район, село Нові ПЕтрівці вул. Свято-Покровська ,52</t>
  </si>
  <si>
    <t>Виготовлення ПКД на примусову вентиляцію найпростішого укриття в Лютізькому ліцею</t>
  </si>
  <si>
    <t>Улаштування системи блискозахисту в Новопетрівській гімназії №2</t>
  </si>
  <si>
    <t>Улаштування вентиляції найпростішого укриття в підвальному приміщенні Лютізького ліцею</t>
  </si>
  <si>
    <t>Капітальний ремонт найпростішого укриття КНП Петрівський КДЦ</t>
  </si>
  <si>
    <t>Капітальний ремонт найпростішого укриття КНП Петрівський КДЦ по вул. Захисників України ,78</t>
  </si>
  <si>
    <t>Капітальний ремонт   пожежної сигналізації,  оповіщення про пожежу, приміщень будівлі комунальної установи Петрівської сільської ради "Центр надання соціальних послуг" за адресою 07354, вул. Ново-Київська ,121 с.Нові Петрівці, Вишгородського р-ну Київської області</t>
  </si>
  <si>
    <t>Капітальний ремонт даху будівлі приміщень комунальної установи Петрівської сільської ради "Центр надання соціальних послуг, розташованої за адресою :07354, вул. Ново-Київська,121, с.Нові Петрівці, Вишгородський р-н Київської обл.. Вогнезахист дерев'яних конструкцій горища "</t>
  </si>
  <si>
    <t>Коригування проектної документації по об'єкту: Капітальний ремонт водойми шляхом очищення донних відкладів та благоустрою в с. Нові Петрівці, Вишгородського району, Київської області</t>
  </si>
  <si>
    <t>Коригування проєктної документації по об'єкту: "Капітальний ремонт пішохідної зони по вул. Приморська в с. Лютіж Вишгородського району Київської області області"</t>
  </si>
  <si>
    <t>Капітальний ремонт дощової   каналізації по вул. Ярослава Мудрого в с.Нові Петрівці</t>
  </si>
  <si>
    <t>Експертиза кошторисної частини проектної документації за робочим проектом "Капітальний ремонт трубопроводів із спорудами дощової каналізації по вулиці Князя Святослава біля будинків №50 - №54 в с. Старі Петрівці Вишгородського району Київської області"</t>
  </si>
  <si>
    <t>Капітальний ремонт  стели при в’їзді в с. Старі Петрівці</t>
  </si>
  <si>
    <t>Реконструкція водопровідної мережі по вул. Князя Святослава  в с. Старі Петрівці Вишгородського району, Київської області. Зовнішні мережі водопостачання.Коригування</t>
  </si>
  <si>
    <t>Проектна документація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 Коригування.</t>
  </si>
  <si>
    <t>Авторський нагляд з реконструкції водопровідної мережі по вул. Князя Святослава в с. Старі Петрівці Вишгородського району Київської області. Зовнішні мережі водопостачання. Коригування</t>
  </si>
  <si>
    <t>Технічний нагляд з реконструкції водопровідної мережі по вул. Князя Святослава в с. Старі Петрівці Вишгородського району Київської області. Зовнішні мережі водопостачання. Коригування</t>
  </si>
  <si>
    <t>Будівництво артезіанської свердловини по вул. 1гоТравня (ділянка №1)</t>
  </si>
  <si>
    <t>Експертиза ПКД на будівництво захисної споруди цивільного захисту (протирадіоційного укриття) для Новопетрівської гімназії №1</t>
  </si>
  <si>
    <t>Виготовлення ПКД на будівництво захисної споруди цивільного захисту (протирадіоційного укриття) для Новопетрівської гімназії №1</t>
  </si>
  <si>
    <t>Робочий проект по по об»єкту «Нове  будівництво захисної споруди цивільного захисту (протирадіоційного укриття) за адресою :Київська область Вишгородський район с.Нові Петрівці вул. Свято-Покровська,270  для Новопетрівської гімназії №2</t>
  </si>
  <si>
    <t>Робочий проект по по об»єкту «Нове  будівництво захисної споруди цивільного захисту (протирадіоційного укриття) для Новопетрівського ліцею</t>
  </si>
  <si>
    <t xml:space="preserve">Експертиза ПКД на будівництво захисної споруди цивільного захисту (протирадіоційного укриття) для Новопетрівської гімназії №2 </t>
  </si>
  <si>
    <t>Експертиза ПКД на будівництво захисної споруди цивільного захисту (протирадіоційного укриття) для Новопетрівського ліцею</t>
  </si>
  <si>
    <t>Нове будівництво захисної споруди цивільного захисту(протирадіаційне укриття) на 390 осіб за адресою: Київська область, Вишгородський район, с.Нові Петрівці, вул. Свято-Покровська,52</t>
  </si>
  <si>
    <t>Коригування проектної документації по об'єкту:"Будівництво будинку культури в с. Лютіж, Вишгородського району, Київської області"</t>
  </si>
  <si>
    <t>інженерно- геологічні  вишукування на проектування «Нове будівництво центру культури та дозвілля по вул. Миру в с. Лютежі Петрівської територіальної громади  Вишгородського району Київської області»</t>
  </si>
  <si>
    <t>Розроблення ПКД  зовнішнього електропостачання на об»єкті «Нове будівництво центру культури та дозвілля по вул. Миру в с.Лютіж»</t>
  </si>
  <si>
    <t>:Розробка проектно – кошторисної документації по б’єкту: "Будівництво каналізаційних очисних споруд закритого типу для глибокого очищення господарсько-побутових стічних вод продуктивністю 7000 м3/ 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відновлювального джерела енергії, розташованих в с. Нові Петрівці Вишгородського р-ну Київської області"</t>
  </si>
  <si>
    <t>Реконструкція мережі вуличного освітлення від ТП 10/04 кВ №1656 по вул. Івана Кудрі, вул. Каневська  в с. Нові Петрівці, Вишгородського району, Київської області</t>
  </si>
  <si>
    <t>Реконструкція мережі вуличного освітлення від ТП 10/04 кВ №1695 по  вул. Каневська  в с. Нові Петрівці, Вишгородського району, Київської області</t>
  </si>
  <si>
    <t>Реконструкція мережі вуличного освітлення від ТП 10/04 кВ №1394 по вул. Польова, вул. Івана Кудрі, пров. Каневський  в с. Нові Петрівці, Вишгородського району, Київської області</t>
  </si>
  <si>
    <t xml:space="preserve">Виготовлення ПКД на будівництво телефонної каналізації для виносу ліній зв’язку в с.Нові Петрівці Вишгородського району Київської області </t>
  </si>
  <si>
    <t>Капітальний ремонт водойми шляхом  очищення  донних  відкладів  та благоустрою  в с. Нові Петрівці Вишгородського району  Київської області</t>
  </si>
  <si>
    <t>Субвенція з державного бюджету місцевим бюджетам на реалізацію проектів (об"єктів , заходів) , спрямованих на ліквідацію наслідків збройної агресії на нове будівництво захисної споруди цивільного захисту(протирадіаційне укриття) на 390 осіб за адресою: Київська область, Вишгородський район, с.Нові Петрівці, вул. Свято-Покровська,52</t>
  </si>
  <si>
    <t>Субвенція з державного бюджету місцевим бюджетам на реалізацію проектів (об"єктів , заходів) , спрямованих на ліквідацію наслідків збройної агресії   на капітальний ремонт із заходами енергозбереження , енергоефективності, термомодернізацією Новопетрівської гімназії №1 Петрівської сільської ради за  адресою : Київська область, Вишгородський район, с.Нові Петрівці, вул. Свято-Покровська,52</t>
  </si>
  <si>
    <t>Розробка проектно – кошторисної документації "Будівництво дороги по вул. Індустріальна та прилеглих вулиць в с. Нові Петрівці Вишгородського району Київської області"</t>
  </si>
  <si>
    <t>Розробка проектно – кошторисної документації "Будівництво вулиці Луцька 2 в с. Нові Петрівці Вишгородського району Київської області"</t>
  </si>
  <si>
    <t>Коригування ПКД на капітальний ремонт дороги по вул. Силкіна в с. Гута - Межигірська Вишгородського району Київської області</t>
  </si>
  <si>
    <t>Виготовлення  ПКД на капітальний ремонт під’їзної дороги до ДНЗ з вулиці Ново-Київська в с.Нові Петрівці</t>
  </si>
  <si>
    <t>Виготовлення  ПКД на капітальний ремонт дороги по вул. Захисників України в с. Старі Петрівці</t>
  </si>
  <si>
    <t>"Інформування громадськості щодо діяльності органів місцевого самоврядування на території Петрівської сільської територіальної громади на  2023 рік"</t>
  </si>
  <si>
    <t>Програма виконана в межах запланованих видатків на 2023 рік.</t>
  </si>
  <si>
    <t>Звіт по  програмі</t>
  </si>
  <si>
    <t xml:space="preserve">Енергозбереження ( підвищення енергоефективності)  Петрівської сільської територіальної громади на 2023-2025 роки»
</t>
  </si>
  <si>
    <t xml:space="preserve">Програма розроблена відповідно до Законів України «Про енергетичну ефективність», «Про місцеве самоврядування в Україні», статті 8 ЗУ «Про основи національної безпеки»,  Енергетичної стратегії України на період до 2035 року «Безпека, енергоефективність, конкурентоспроможність».
Мета Програми: забезпечення ефективного використання паливно-енергетичних ресурсів бюджетними закладами та установами, скорочення бюджетних витрат на використання енергоресурсів, удосконалення системи енергоменеджменту, підвищення культури енергоспоживання.
Програма включає енергозберігаючі заходи, виконання яких спрямоване на забезпечення реалізації в громаді державної політики у сфері енергозбереження, вдосконалення системи управління енергоспоживанням, спрямованої на підвищення ефективності використання паливно-енергетичних ресурсів у бюджетній та комунальній сферах, формування у населення міста світогляду, орієнтованого на енергозбереження, отримання енергозберігаючого, соціального та економічного ефекту.
</t>
  </si>
  <si>
    <t>Виготовлення ПКД на капітальний ремонт з термомодернізації адмінбудівліі по вул.Князя Святослава,13 с.Старі Петрівці</t>
  </si>
  <si>
    <t>Улаштування СЕС потужністю 10кВт в адмінбудинку  за адресою с.Нові Петрівці вул. Свято-Покровська,171 Вишгородського району Київської області</t>
  </si>
  <si>
    <t>Улаштування СЕС потужністю 12кВт в адмінбудинку  за адресою с. Старі Петрівці вул. Князя Святослава,13  Вишгородського району Київської області</t>
  </si>
  <si>
    <t>Улаштування СЕС потужністю 8 кВт в адмінбудинку  за адресою с. Лютіж, вул. Вітряного   Вишгородського району Київської області</t>
  </si>
  <si>
    <t>Виготовлення ПКД  на капітальний ремонт з заходами енергозбереження,  енергоефективності , термомодернізацією  Новопетріівської гімназії №1 Петрівської сільської ради за адресою  Київська область , Вишгородський район , село Нові Петрівці  вул. Свято-Покровська,52</t>
  </si>
  <si>
    <t>Заходи з енергозбереження - Капітальний ремонт покрівлі в Новопетрівській гімназії  №2</t>
  </si>
  <si>
    <t>Капітальний ремонт системи енергозабезпечення шляхом улаштування СЕС потужністю 6 кВт в Новопетрівській гімназії №2  за адресою с.Нові Петрівці, вул.Свято-Покровська, 270 Вишгородського району, Київської області</t>
  </si>
  <si>
    <t>Капітальний ремонт системи енергозабезпечення шляхом улаштування СЕС потужністю 12кВт  в КУ «ЦНСП»  за адресою с.Нові Петрівці, вул. Ново –Київська, 121  Вишгородського району, Київської області</t>
  </si>
  <si>
    <t>"Розвиток комунального закладу «Петрівська школа мистецтв» Петрівської сільської ради на 2023 рік"</t>
  </si>
  <si>
    <t xml:space="preserve">Забезпечення вільного творчого, інтелектуального розвитку дівчаток та хлопчиків дошкільного, молодшого-старшого шкільного віку, чоловіків та жінок в комунальному закладі «Петрівська школа мистецтв» Петрівської сільської ради. Доступності початкової спеціалізованої мистецької ОСВІТИ, гарантування громадянам права на її здобуття. Окреслити і організувати основні напрямки роботи по розвитку закладу, підтримки його престижу та конкурентно-спроможності в сучасних умовах.                       Основні завдання програми:                                                                                                                                                                                                                                                                                                                                                                                                                                                                                                                    - збереження і розширення контингенту учнів;
- збільшення частки в контингенті школи дітей з сільської місцевості району;
- відкриття класів за новими спеціалізаціями;
- збереження та подальше зміцнення матеріально-технічної бази школи;
- закріплення позитивного іміджу закладу, як початкової ланки мистецької освіти з державними гарантіями;
- привернення уваги до проблем закладу, з метою їх. вирішення;
- розпочати співпрацю з іншими країнами у питаннях початкової спеціалізованої мистецької освіти в рамках прискорення та поглиблення інтеграції України в європейський та світовий простір.
    </t>
  </si>
  <si>
    <t>"Розробка містобудівної документації Петрівської сільської територіальної громади на 2022-2023 роки"</t>
  </si>
  <si>
    <t>Внесення змін до Генерального плану с.Старі Петрівці Вишгородського району Київської  області</t>
  </si>
  <si>
    <t>Розроблення научно проєктної документації з виконанням концепції інтигрованого розвитку території Петрівської територіальної громади</t>
  </si>
  <si>
    <t xml:space="preserve">    Програма виконана в межах запланованих видатків на 2023 рік.</t>
  </si>
  <si>
    <t xml:space="preserve">Додаток № </t>
  </si>
  <si>
    <t xml:space="preserve">Забезпечення обороноздатності та створення спеціального матеріального резерву </t>
  </si>
  <si>
    <t>на період введення воєнного стану</t>
  </si>
  <si>
    <t>Метою Програми є створення матеріального резерву для забезпечення обороноздатності України, забезпечення матеріально-технічних потреб військових частин, предметами спорядження, засобами захисту, зв’язку, пально-мастильними матеріалами, резервними джерелами електроживлення, будівельними матеріалами, електрообладнанням та санітарно-технічним приладдям, інструментами, запасними частинами до автомобільної техніки тощо для підтримання боєготовності та ефективного виконання завдань щодо захисту державного суверенітету і незалежності України.</t>
  </si>
  <si>
    <t>Реалізація заходів Програми дасть змогу створити матеріальний резерв та виділити кошти на оперативне вирішення завдань, пов’язаних із запровадженням і здійсненням заходів правового режиму воєнного стану.</t>
  </si>
  <si>
    <t>Пояс запобіжний безлямковий</t>
  </si>
  <si>
    <t>Строп страхувальний (зі сталевого тросу СК (К20/К55))</t>
  </si>
  <si>
    <t>Інвекторний генератор Ваss Polska BP-5018 1,2 кВт (10 шт.)</t>
  </si>
  <si>
    <t>Зарядна станція EcoFlow RIVER 2Maх (5 шт.)</t>
  </si>
  <si>
    <t>Драбина універсальна алюмінієва KRAUSE Corda 3*9 cx</t>
  </si>
  <si>
    <t>Послуги з перевезення</t>
  </si>
  <si>
    <t xml:space="preserve">Робіт з обстеження об’єктів, пошкоджених внаслідок воєнних дій на території Петрівської  сільської територіальної громади Вишгородського району Київської області» на 2023 рік
</t>
  </si>
  <si>
    <r>
      <t xml:space="preserve">         Метою програми є здійснення всіх можливих невідкладних робіт з ліквідації наслідків збройної агресії Російської Федерації, пов’язаних із пошкодженням будівель та споруд на території громади. Проведення комплексу першочергових організаційно-технічних робіт і заходів, спрямованих на ліквідацію небезпечних наслідків збройної агресії Російської Федерації, пов’язаних із пошкодженням будівель та споруд, запобігання загибелі людей, зменшення обсягів можливих матеріальних втрат.  </t>
    </r>
    <r>
      <rPr>
        <sz val="12"/>
        <color theme="1"/>
        <rFont val="Calibri"/>
        <family val="2"/>
        <charset val="204"/>
        <scheme val="minor"/>
      </rPr>
      <t xml:space="preserve"> Внаслідок бойових дій військ російської федерації на території України з 24 лютого 2022 року інфраструктура Петрівської сільської територіальної громади Вишгородського  району Київської області зазнала значних ушкоджень. Найзапекліші бої на території громади відбувались в с. Гута-Межигірська. </t>
    </r>
  </si>
  <si>
    <t xml:space="preserve"> Погашення кредиторської забогованості по  обстеженню об’єкту який постраждав внаслідок агресії РФ на території Петрівської сільської ради</t>
  </si>
  <si>
    <t>Виготовлення ПКД  на реконструкцію пошкодженого внаслідок збройної агресії житлового призначення , а саме «Реконструкція  житлового багатоквартирного будинку за адресою : Київська обл, Вишгородський р-н, с.Нові Петрівці вул. Ново-Київська,135»</t>
  </si>
  <si>
    <t>Технічне і фінансове забезпечення, вдосконалення та розвиток місцевої автоматизованої системи централізованого оповіщення Петрівської сільської територіальної громади на 2023 рік</t>
  </si>
  <si>
    <t xml:space="preserve">     Основною метою Програми є технічне і фінансове забезпечення, вдосконалення та розвиток системи централізованого оповіщення і Петрівської сільської територіальної громади є реалізація державної політики, спрямованої на створення умов для забезпечення безпеки населення і територій, підвищення рівня їх захисту від впливу шкідливих природних, техногенних та екологічних факторів за рахунок підвищення ефективності функціонування системи оповіщення та інформування.</t>
  </si>
  <si>
    <t xml:space="preserve">       Програма виконана в межах запланованих видатків на 2023 рік.</t>
  </si>
  <si>
    <t xml:space="preserve">«Створення, використання та накопичення матеріальних резервів для запобігання і ліквідації надзвичайних ситуацій та їх наслідків на території Петрівської сільської  територіальної громади на 2023-2025 роки» </t>
  </si>
  <si>
    <t xml:space="preserve">        Головною метою Програми є створення матеріального резерву для використання його у разі загрози виникнення надзвичайних ситуацій ліквідації цих надзвичайних ситуацій та їх наслідків.
Основні завдання Програми:
- здійснення запобіжних заходів у разі виникнення надзвичайних ситуацій;
- ліквідація надзвичайних ситуацій та їх наслідків;
- проведення невідкладних відновних робіт;
- надання громадянам, постраждалим від наслідків надзвичайних ситуацій, одноразової матеріальної допомоги для забезпечення їх життєдіяльності;
- розгортання та утримання тимчасових пунктів проживання і харчування громадян.
Створення місцевого матеріального резерву забезпечить можливість реального та ефективного функціонування міської ланки територіальної підсистеми єдиної державної системи цивільного захисту з найменшими фінансовими витратами.
</t>
  </si>
  <si>
    <t>Захищені носії особистих ключів 6 шт. - 9 600 грн, світильник стельовий 10 шт. - 6 250 грн, світильник PANEL 60*60 40 шт. - 33 200 грн, лампа LED Vestun R50 6W 12 шт. - 924 грн, LED T8 10W 1000Lm 6500 KSOKOL 12 шт. - 1 320 грн, придбання канцтоварів - 29 037 грн, матеріали для поточного ремонту електромереж - 9 610 грн, електропила - 4 050 грн, верстат заточувальний - 1 680 грн, санітарно-гігієничні товари - 2 920 грн, миючі та дезінфікуючі засоби - 1 636 грн, бойлер - 8 203 грн.</t>
  </si>
  <si>
    <t>Послуги з адміністрування (обслуговування) програмного забезпечення -5 250 грн, послуги зв'язку - 1 072,01 грн, послуги інтернет провайдера - 7 940 грн, послуги з обслуговування орг.техніки - 2 000 грн, експлуатація складових газорозподільної системи - 1 566,52 грн, послуги  КЕП - 1 170 грн, М.Е.Doc - 1 452 грн, монтаж лічильника природного газу - 43 989,40 грн, послуги з перезарядки вогнегасників - 270 грн, послуги з виміру ізоляції електрообладнання, опору розтікання струму заземлення пристроїв - 6 890 грн, поточний ремонт вхідної групи - 50 602,61 грн, послуги з поточного ремонту віконних та дверних блоків - 168 853,73 грн, послуги по тех.обслуговуванню систем вентиляції - 4 000 грн.</t>
  </si>
  <si>
    <t>"Фінансова підтримка Київського  обласного територіального центру комплектування та соціальної підтримки на 2023 рік"</t>
  </si>
  <si>
    <t xml:space="preserve">Метою програми є розвиток людського потенціалу, наближення якості життя до європейських стандартів у частині створення умов для якісного, комфортного та безпечного життя людей, комплексне здійснення заходів щодо забезпечення оборони Київської області  в умовах збройної агресії російської федерації.
Основними завданнями Програми є:
- забезпечення належних умов для оборони Київської області;
- забезпечення  заходів бойового злагодження та бойової підготовки;
- надання допомоги у всебічному матеріально-технічного забезпеченні  заходів територіальної оборони;
- забезпечення умов для надійного функціонування органів державної влади та місцевого самоврядування, Київського обласного територіального центру комплектування та соціальної підтримки, підрозділів ЗСУ;
- підготовки до охорони та оборони важливих об’єктів і комунікацій  життєдіяльності в умовах збройної агресії російської федерації;
- підготовки до боротьби з диверсійно-розвідувальними силами, іншими озброєними формуваннями агресора, антидержавними незаконно утвореними озброєними формуваннями та мародерами;
- відновлення та забезпечення належного функціонування основних шляхів, шляхопроводів, мостових переходів та логістичних маршрутів.
</t>
  </si>
  <si>
    <t>Договір не підписаний стороною</t>
  </si>
  <si>
    <t>Придбання паливно-мастильних матеріалів, будівельних матеріалів, знаряддя, спорядження, матеріально-технічних засобів, продовольства, речове майно тощо.</t>
  </si>
  <si>
    <t>"Фінансова підтримка для забезпечення боєздатності та ліквідації надзвичайних ситуацій та їх наслідків 10-Державного пожежно-рятувального загону ГУ ДСНС у Київській області на 2023 рік"</t>
  </si>
  <si>
    <t xml:space="preserve">Державна політика у сфері захисту населення і територій від надзвичайних ситуацій техногенного і природного характеру здійснюється на принципах пріоритетності завдань, спрямованих на рятування життя та збереження здоров’я людей і довкілля та безумовного надання переваги раціональній і превентивній безпеці.
Найбільшу небезпеку для населення Петрівської сільської територіальної громади становлять:
- непередбачувані процеси військового стану;
- повеневі процеси (пошкодження гідротехнічних споруд); 
- випадки, пов’язані з накопиченням небезпечних хімічних та інших речовин;
- випадки виявлення вибухонебезпечних предметів;
- аварії внаслідок зношення виробничих фондів на потенційно небезпечних об‘єктах;
- наявність епізоотичних зон та природних осередків небезпечних інфекційних захворювань; 
- аварії на транспорті.
Надзвичайно серйозною проблемою залишається забезпечення надійного протипожежного захисту населених пунктів громади, де щороку виникають пожежі. Для успішного гасіння пожеж черговим службам потрібно витратити мінімум часу для слідування до місця виклику. Враховуючи небезпечні фактори пожеж та час, необхідний для прибуття чергових варт оперативно-рятувальної служби, можуть виявитися критичними для порятунку життя людей та майна від вогню.
Надання 10 ДПРЗ субвенції  дозволить своєчасно виконати заходи, спрямовані на:
- здійснення запобіжних заходів у разі загрози виникнення надзвичайних ситуацій;
- ліквідацію наслідків надзвичайних ситуацій;
- проведення невідкладних відновлювальних робіт і заходів;
- надання постраждалому населенню необхідної допомоги для забезпечення його життєдіяльності;
- утримання пунктів незламності;
- забезпечення паливно-мастильними та іншими витратними матеріалами пожежно рятувальної техніки та генераторів пунктів незламності
</t>
  </si>
  <si>
    <t>Паливно мастильні матеріали</t>
  </si>
  <si>
    <t>на придбання форменного одягу (куртки зимові повсякденні робочі)</t>
  </si>
  <si>
    <t>"Підтримка військової частини 3077 Національної гвардії України на 2023 рік"</t>
  </si>
  <si>
    <t>На забезпечення державного суверенітету, територіальної цілісності та недоторканості України, воєнної безпеки захисту та охорони життя, прав, свобод і законних інтересів громадян, суспільства і держави від злочинних та інших протиправних посягань 
є необхідність залучення коштів місцевого бюджету для покращення матеріально-технічного забезпечення військових частин, інших підрозділів  Національної гвардії України  для виконання військового обов’язку, здійснення заходів із забезпечення національної безпеки і оборони України. Метою є:
 забезпечення належних умов для якісного виконання завдань та підтримки високого рівня боєготовності військових частин та інших підрозділів Національної гвардії України;
підвищення обороноздатності та мобілізаційної  готовності держави;
покращення матеріально-технічного забезпечення підрозділів Національної гвардії України;
забезпечення реалізації заходів та робіт з територіальної оборони;
налагодження ефективного цивільно – військового співробітництва;
створення  умов  для  повноцінної  підготовки  до  виконання  поставлених завдань перед військовими частинами;
зміцнення  співпраці  між  органами  місцевого  самоврядування  та військовим формуванням. 
Піднесення підвищення обороноздатності та мобілізаційної готовності військових частин, сприяння у покращенні житлових умов військовослужбовців строкової служби, налагодження ефективного співробітництва, військово-патріотичного виховання  молоді  та її підготовки до виконання військового обов'язку.
Реалізація основних завдань Програми дасть змогу забезпечити посильної допомоги у матеріально-технічному та іншому забезпеченні підрозділів військової частини.</t>
  </si>
  <si>
    <t>Облаштування площадки перед входом до збірно збірно-розбірної модульної споруди спеціального призначення ( казарма №1)</t>
  </si>
  <si>
    <t>Облаштування підшивки вікон на горищі будівлі передавального центру</t>
  </si>
  <si>
    <t>Встановлення вікон та вхідних дверей на речовому складі</t>
  </si>
  <si>
    <t>Облаштування додаткових приміщень в збірно-розбірній модульній споруді спеціального призначення (казарма №1)</t>
  </si>
  <si>
    <t>Роботи по встановленню електростовпів до їдальні та електромонтажні роботи</t>
  </si>
  <si>
    <t>Облаштування площадок перед основним та  запасними входами збірно-розбірної комплексної модульної споруди спеціального призначення для харчування військовослужбовців військової частини 3077 НГУ (їдальня)</t>
  </si>
  <si>
    <t>Облаштування сушарень в казармі бойового матеріально-технічного забезпечення</t>
  </si>
  <si>
    <t>Облаштування інформаційного центру в казармі бойового та матеріально-технічного забезпечення</t>
  </si>
  <si>
    <t>Закупівля будівельних матеріалів для поточного ремонту житлового фонду військової частини</t>
  </si>
  <si>
    <t>Проведення ремонту тепломереж військової частини 3077</t>
  </si>
  <si>
    <t>Закупівля флагштоків довжиною 6 м.</t>
  </si>
  <si>
    <t>Ремонт ангару (склад квартирно-експлуатаційної служби)</t>
  </si>
  <si>
    <t>Закупівля кухонного інвентаря та кухонного приладдя</t>
  </si>
  <si>
    <t>Закупівля  електротоварів для проведення електромонтажних робіт у приміщеннях будівлі КТП</t>
  </si>
  <si>
    <t>Закупівля  електротоварів для проведення електромонтажних робіт на горищі будівлі передавального центру</t>
  </si>
  <si>
    <t>Проведення ремонту в приміщені туалету та душовій кімнаті в підрозділі мобільногоцентру звя"зку запасногокомандного пункту військової частини 3077</t>
  </si>
  <si>
    <t>Закупівля будівельних матеріалів для влаштування приміщень з ОСБ перегородок на горищі будівлі передавального центру</t>
  </si>
  <si>
    <t>Закупівля плит дорожніх армованих</t>
  </si>
  <si>
    <t>Проведення ремонту в інформаційному центрі підрозділу мобільного центру зв"язку запасного командного пункту військової частини 3077</t>
  </si>
  <si>
    <t>Проведення електротоварів для проведення електромонтажних робіт в приміщеннях підрозділу мобільного центру зв"язку запасного командного пункту військової частини 3077</t>
  </si>
  <si>
    <t>Проведення ремонту в приміщеннях стаціонарного центру зв"язку військової частини 3077</t>
  </si>
  <si>
    <t>Проведення ремонту  і технічного обслуговування твердопаливного котла</t>
  </si>
  <si>
    <t>Для технічного обслуговування та ремонту котельного обладнення</t>
  </si>
  <si>
    <t>Проведення ремонту ангару (склад квартирно-експлуатаційної служби)</t>
  </si>
  <si>
    <t>Проведення ремонту в приміщеннях будівлі передавального центру</t>
  </si>
  <si>
    <t>"Фінансового забезпечення Вишгородської районної державної адміністрації та її структурних підрозділів на 2023 рік"</t>
  </si>
  <si>
    <t xml:space="preserve">
Метою Програми є:
-забезпечення виконання функціональних обов'язків районною державною адміністрацією, які здійснюються апаратом районної державної адміністрації, управліннями, відділами, секторами та іншими структурними підрозділами районної державної адміністрації, а також консультативними, дорадчими та іншими допоміжними органами, службами і комісіями, утвореними головою районної державної адміністрації;
- підвищення дієвості управлінських рішень, удосконалення роботи органів державної влади шляхом співпраці та посилення взаємодії органів виконавчої влади з органами місцевого самоврядування;
-проведення аналізу роботи органів місцевого самоврядування у межах повноважень і в порядку, визначених законодавством, надання методичної та іншої практичної допомоги з удосконалення організації їх роботи, підготовка пропозиції щодо поглиблення взаємодії районної державної адміністрації з органами місцевого самоврядування для спільного вирішення питань економічного, соціального та культурного розвитку району;
-здійснення заходів правового режиму воєнного стану, оборони, цивільного захисту, громадської безпеки і порядку, захисту критичної інфраструктури, охорони прав, свобод і законних інтересів громадян.
</t>
  </si>
  <si>
    <t>У відповідності до статті 26 Закону України «Про місцеве самоврядування в Україні» та підпункту 225 Розділу VІ «ПРИКІНЦЕВИХ ТА ПЕРЕХІДНИХ ПОЛОЖЕНЬ» Бюджетного кодексу України у період дії воєнного стану та з метою відсічі збройної агресії російської федерації проти України, забезпечення національної безпеки, заходів територіальної оборони, соціального захисту населення, як виняток з положень частини другої статті 85 Бюджетного кодексу, видатків, не віднесених до відповідних місцевих бюджетів цим Кодексом, і видатків на утримання бюджетних установ.</t>
  </si>
  <si>
    <t>Шкільний автобус на 2023 рік</t>
  </si>
  <si>
    <t xml:space="preserve">     Основними завданнями Програми є:
1) забезпечення реалізації прав громадян на доступність і безоплатність здобуття освіти, які проживають у сільській місцевості;
2) регулярне і безоплатне перевезення учнів з дотриманням правил та норм охорони праці під час організованого підвезення. 
3) регулярне і безоплатне перевезення педагогічних працівників для забезпечення раціонального використання кадрового потенціалу загальноосвітніх начальних закладів;
4) створення рівних можливостей для всіх громадян, які проживають та постійно працюють у сільській місцевості у задоволенні соціальних та культурно-освітніх потреб;
5) формування належної соціальної інфраструктури громади.
</t>
  </si>
  <si>
    <t xml:space="preserve">    Виконання Програми дасть можливість:
- забезпечити соціальний захист учасників освітнього процесу, припинити негативні процеси у соціальній сфері села, досягти позитивних зрушень у забезпеченні життєдіяльності сільського населення;
- створити у сільській місцевості належні умови для здобуття учнями повної загальної середньої освіти.
</t>
  </si>
  <si>
    <t xml:space="preserve">Співфінансування 40% на придбання шкільного автобуса </t>
  </si>
  <si>
    <t xml:space="preserve"> військовій частині А 3723 на придбання газонокосарок, бензопил, мотокос</t>
  </si>
  <si>
    <t xml:space="preserve"> військовій частині А 3723 на придбання компютерної та оргтехніки</t>
  </si>
  <si>
    <t>військовій частині А 3723 на придбання комплекта пошукового прожектора</t>
  </si>
  <si>
    <t>військовій частині А7334 на виготовлення ПКД Капітальний ремонт будівлі по ГП №131/1 смт. Тростянець</t>
  </si>
  <si>
    <t>військовій частині А7334 на  Капітальний ремонт будівлі по ГП №131/1 смт. Тростянець</t>
  </si>
  <si>
    <t>Поліцейський офіцер громади на 2023 рік</t>
  </si>
  <si>
    <t xml:space="preserve">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
Серед основних завдань Програми:
- постійна співпраця поліцейських офіцерів з громадою;
- інтеграція поліції в суспільство;
- задоволення безпекових потреб громадян;
- ефективне та консолідоване вирішення локальних проблем громади.
</t>
  </si>
  <si>
    <t>В основу реалізації Програми покладено принцип об’єднання зусиль органів місцевого самоврядування, правоохоронних органів, підприємств, організацій та установ різних форм власності, громадськості для забезпечення охорони громадського порядку та профілактики злочинності.</t>
  </si>
  <si>
    <t>Придбання ДРАГЕРА</t>
  </si>
  <si>
    <t xml:space="preserve">Придбання 
паливно-мастильних 
матеріалів 
</t>
  </si>
  <si>
    <t>Придбання меблів для кімнати офіцера громади</t>
  </si>
  <si>
    <t xml:space="preserve">Придбання офісного дивана (1 шт), крісло(1 шт), жалюзі (2 шт), стільці (2 шт) </t>
  </si>
  <si>
    <t>Безпечна Петрівська  громада на 2023 рік</t>
  </si>
  <si>
    <t xml:space="preserve">В умовах збільшення проявів тероризму та сепаратизму, спроб нагнітання соціально-політичної ситуації, погіршення криміногенного стану і виникла нагальна потреба зміцнення та посилення заходів безпеки Петрівської сільської територіальної громади.
Сільська влада посилено працює над попередженням та протидією можливим загрозам життю та здоров’ю громадян, намагається забезпечити оперативне реагування на надзвичайні ситуації, оскільки у громаді існує ряд об’єктів, які потребують посиленого захисту та контролю. До них відносяться:
- в’їзди в села;
- центральні частини сіл;
- супермаркети, торгові заклади тощо;
- місця скупчення людей;
- стратегічні та важливі для життєдіяльності об’єкти сіл;
- адміністративні будівлі, навчальні та медичні заклади, комунальні та житлові об’єкти, інші громадські будівлі тощо;
- автодорожні шляхи.
Крім того, є нагальна потреба в інтеграції та модернізації існуючих систем відеоспостереження в селах Петрівської територіальної громади, які функціонують окремо одна від одної.  
</t>
  </si>
  <si>
    <t>ППридбання комплектів обладнання для модернізації системи відеоспостереження</t>
  </si>
  <si>
    <t xml:space="preserve">Обслуговування відеокамер </t>
  </si>
  <si>
    <t xml:space="preserve">Оплата послуг Інтернету (відеокамери) </t>
  </si>
  <si>
    <t>Поточний ремонт пішохідної зони в с.Старі Петрівці</t>
  </si>
  <si>
    <t>Придбання елементів дитячого майданчика с. Лютіж вул. Шевченка</t>
  </si>
  <si>
    <t>Придбання дитячого iгрового комплексу</t>
  </si>
  <si>
    <t>Придбання елементів дитячого майданчика в с. Лютіж</t>
  </si>
  <si>
    <t>Придбання  зупинок громадського транспорту  в с.Нові Петрівці</t>
  </si>
  <si>
    <t>Павільйони для зупинки громадського транспорту на території громади з втановленням та благоустроєм території</t>
  </si>
  <si>
    <t>Проведення лабораторних досліджень відповідності норм та стандартів виконання ямкового ремонту</t>
  </si>
  <si>
    <t>Облаштування контейнернів майданчиків</t>
  </si>
  <si>
    <t>Поточний ремонт світофорного об»єкта на перехресті вул. Свято-Покровська, Пушкіна, Князя Святослава в с.Нові Петрівці</t>
  </si>
  <si>
    <t>Поточний ремонт мережі вуличного освітлення в с. Гута Межигірська по вул Силкіна</t>
  </si>
  <si>
    <t>Оренда біотуалетів</t>
  </si>
  <si>
    <t>Послуги з утримання вулично-шляхової мережі по відновленню дорожньої розмітки та ремонту засобів регулювання дорожнього руху</t>
  </si>
  <si>
    <t>Поточний ремонт вуличного освітлення в с.Гута Межигірська</t>
  </si>
  <si>
    <t>Поточний ремонт вуличного освітлення по вул. Нагірна в с.Старі Петрівці</t>
  </si>
  <si>
    <t>Поточний ремонт вуличного освітлення по вул. Ягідна, Івана Франка в с.Нові Петрівці</t>
  </si>
  <si>
    <t>Поточний ремонтмережі вуличного освітлення по вул. Польова, Лісова, Князя Святослава</t>
  </si>
  <si>
    <t>Будиночки для колодязів (6 шт)</t>
  </si>
  <si>
    <t>Поточний ремонт будиночків на колодязях</t>
  </si>
  <si>
    <t>Влаштування огорожі по вул. Ново-Київська в с.Нові Петрівці</t>
  </si>
  <si>
    <t>Послуги з чистки дренажних колодязів на території Петрівської громади (31 шт.)</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</si>
</sst>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_-* #,##0.00_р_._-;\-* #,##0.00_р_._-;_-* &quot;-&quot;??_р_._-;_-@_-"/>
    <numFmt numFmtId="165" formatCode="_-* #,##0.00\ _₽_-;\-* #,##0.00\ _₽_-;_-* &quot;-&quot;??\ _₽_-;_-@_-"/>
    <numFmt numFmtId="166" formatCode="#,##0.00_ ;\-#,##0.00\ "/>
    <numFmt numFmtId="167" formatCode="_-* #,##0\ _₽_-;\-* #,##0\ _₽_-;_-* &quot;-&quot;??\ _₽_-;_-@_-"/>
    <numFmt numFmtId="168" formatCode="_-* #,##0.00\ _₽_-;\-* #,##0.00\ _₽_-;_-* &quot;-&quot;??\ _₽_-;_-@"/>
    <numFmt numFmtId="169" formatCode="_-* #,##0\ _₽_-;\-* #,##0\ _₽_-;_-* &quot;-&quot;??\ _₽_-;_-@"/>
    <numFmt numFmtId="170" formatCode="_-* #,##0.00\ _₴_-;\-* #,##0.00\ _₴_-;_-* &quot;-&quot;??\ _₴_-;_-@"/>
    <numFmt numFmtId="171" formatCode="#,##0.00_р_."/>
  </numFmts>
  <fonts count="40" x14ac:knownFonts="1">
    <font>
      <sz val="11"/>
      <color theme="1"/>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2"/>
      <color rgb="FF000000"/>
      <name val="Calibri"/>
      <family val="2"/>
      <charset val="204"/>
      <scheme val="minor"/>
    </font>
    <font>
      <b/>
      <sz val="11"/>
      <color theme="1"/>
      <name val="Calibri"/>
      <family val="2"/>
      <charset val="204"/>
      <scheme val="minor"/>
    </font>
    <font>
      <sz val="12"/>
      <color rgb="FF000000"/>
      <name val="Calibri"/>
      <family val="2"/>
      <charset val="204"/>
      <scheme val="minor"/>
    </font>
    <font>
      <b/>
      <i/>
      <sz val="12"/>
      <color theme="1"/>
      <name val="Calibri"/>
      <family val="2"/>
      <charset val="204"/>
      <scheme val="minor"/>
    </font>
    <font>
      <b/>
      <i/>
      <sz val="13"/>
      <color theme="1"/>
      <name val="Times New Roman"/>
      <family val="1"/>
      <charset val="204"/>
    </font>
    <font>
      <sz val="12"/>
      <color theme="1"/>
      <name val="Times New Roman"/>
      <family val="1"/>
      <charset val="204"/>
    </font>
    <font>
      <b/>
      <i/>
      <sz val="11"/>
      <color theme="1"/>
      <name val="Calibri"/>
      <family val="2"/>
      <charset val="204"/>
      <scheme val="minor"/>
    </font>
    <font>
      <i/>
      <sz val="12"/>
      <color theme="1"/>
      <name val="Calibri"/>
      <family val="2"/>
      <charset val="204"/>
      <scheme val="minor"/>
    </font>
    <font>
      <sz val="13"/>
      <color theme="1"/>
      <name val="Calibri"/>
      <family val="2"/>
      <charset val="204"/>
      <scheme val="minor"/>
    </font>
    <font>
      <sz val="13"/>
      <color theme="1"/>
      <name val="Times New Roman"/>
      <family val="1"/>
      <charset val="204"/>
    </font>
    <font>
      <u/>
      <sz val="11"/>
      <color theme="10"/>
      <name val="Calibri"/>
      <family val="2"/>
      <charset val="204"/>
      <scheme val="minor"/>
    </font>
    <font>
      <b/>
      <sz val="12"/>
      <name val="Calibri"/>
      <family val="2"/>
      <charset val="204"/>
      <scheme val="minor"/>
    </font>
    <font>
      <sz val="13"/>
      <color rgb="FF000000"/>
      <name val="Times New Roman"/>
      <family val="1"/>
      <charset val="204"/>
    </font>
    <font>
      <sz val="12"/>
      <name val="Calibri"/>
      <family val="2"/>
      <charset val="204"/>
      <scheme val="minor"/>
    </font>
    <font>
      <sz val="10"/>
      <color theme="1"/>
      <name val="Calibri"/>
      <family val="2"/>
      <charset val="204"/>
      <scheme val="minor"/>
    </font>
    <font>
      <sz val="11"/>
      <name val="Calibri"/>
      <family val="2"/>
      <charset val="204"/>
      <scheme val="minor"/>
    </font>
    <font>
      <sz val="12"/>
      <color rgb="FF222222"/>
      <name val="Arial"/>
      <family val="2"/>
      <charset val="204"/>
    </font>
    <font>
      <b/>
      <sz val="13"/>
      <color theme="1"/>
      <name val="Times New Roman"/>
      <family val="1"/>
      <charset val="204"/>
    </font>
    <font>
      <sz val="8"/>
      <name val="Calibri"/>
      <family val="2"/>
      <charset val="204"/>
      <scheme val="minor"/>
    </font>
    <font>
      <b/>
      <sz val="13"/>
      <color theme="1"/>
      <name val="Calibri"/>
      <family val="2"/>
      <charset val="204"/>
      <scheme val="minor"/>
    </font>
    <font>
      <sz val="11"/>
      <color rgb="FF000000"/>
      <name val="Calibri"/>
      <family val="2"/>
      <charset val="204"/>
      <scheme val="minor"/>
    </font>
    <font>
      <u/>
      <sz val="11"/>
      <color theme="1"/>
      <name val="Calibri"/>
      <family val="2"/>
      <charset val="204"/>
      <scheme val="minor"/>
    </font>
    <font>
      <sz val="11"/>
      <color rgb="FFFF0000"/>
      <name val="Calibri"/>
      <family val="2"/>
      <charset val="204"/>
      <scheme val="minor"/>
    </font>
    <font>
      <sz val="12"/>
      <color rgb="FFFF0000"/>
      <name val="Calibri"/>
      <family val="2"/>
      <charset val="204"/>
      <scheme val="minor"/>
    </font>
    <font>
      <sz val="11"/>
      <color theme="1"/>
      <name val="Calibri"/>
      <family val="2"/>
      <charset val="204"/>
    </font>
    <font>
      <sz val="10"/>
      <color theme="1"/>
      <name val="Calibri"/>
      <family val="2"/>
      <charset val="204"/>
    </font>
    <font>
      <sz val="12"/>
      <color theme="1"/>
      <name val="Calibri"/>
      <family val="2"/>
      <charset val="204"/>
    </font>
    <font>
      <b/>
      <sz val="11"/>
      <color theme="1"/>
      <name val="Calibri"/>
      <family val="2"/>
      <charset val="204"/>
    </font>
    <font>
      <b/>
      <sz val="12"/>
      <color theme="1"/>
      <name val="Calibri"/>
      <family val="2"/>
      <charset val="204"/>
    </font>
    <font>
      <sz val="11"/>
      <color theme="1"/>
      <name val="Times New Roman"/>
      <family val="1"/>
      <charset val="204"/>
    </font>
    <font>
      <sz val="10"/>
      <color indexed="8"/>
      <name val="Times New Roman"/>
      <family val="1"/>
      <charset val="204"/>
    </font>
    <font>
      <sz val="10"/>
      <name val="Arial"/>
      <family val="2"/>
      <charset val="204"/>
    </font>
    <font>
      <b/>
      <sz val="12"/>
      <color indexed="8"/>
      <name val="Times New Roman"/>
      <family val="1"/>
      <charset val="204"/>
    </font>
    <font>
      <b/>
      <sz val="11"/>
      <color theme="1"/>
      <name val="Times New Roman"/>
      <family val="1"/>
      <charset val="204"/>
    </font>
    <font>
      <sz val="12"/>
      <color indexed="8"/>
      <name val="Times New Roman"/>
      <family val="1"/>
      <charset val="204"/>
    </font>
    <font>
      <sz val="12"/>
      <color indexed="8"/>
      <name val="Calibri"/>
      <family val="2"/>
      <charset val="204"/>
      <scheme val="minor"/>
    </font>
  </fonts>
  <fills count="8">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00B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style="thin">
        <color indexed="8"/>
      </top>
      <bottom style="thin">
        <color indexed="8"/>
      </bottom>
      <diagonal/>
    </border>
  </borders>
  <cellStyleXfs count="3">
    <xf numFmtId="0" fontId="0" fillId="0" borderId="0"/>
    <xf numFmtId="165" fontId="1" fillId="0" borderId="0" applyFont="0" applyFill="0" applyBorder="0" applyAlignment="0" applyProtection="0"/>
    <xf numFmtId="0" fontId="14" fillId="0" borderId="0" applyNumberFormat="0" applyFill="0" applyBorder="0" applyAlignment="0" applyProtection="0"/>
  </cellStyleXfs>
  <cellXfs count="644">
    <xf numFmtId="0" fontId="0" fillId="0" borderId="0" xfId="0"/>
    <xf numFmtId="0" fontId="2" fillId="0" borderId="0" xfId="0" applyFont="1" applyAlignment="1">
      <alignment wrapText="1"/>
    </xf>
    <xf numFmtId="0" fontId="3" fillId="0" borderId="1" xfId="0" applyFont="1" applyBorder="1" applyAlignment="1">
      <alignment horizontal="center" wrapText="1"/>
    </xf>
    <xf numFmtId="0" fontId="2" fillId="0" borderId="1" xfId="0" applyFont="1" applyBorder="1" applyAlignment="1">
      <alignment wrapText="1"/>
    </xf>
    <xf numFmtId="0" fontId="2" fillId="0" borderId="0" xfId="0" applyFont="1" applyAlignment="1">
      <alignment vertical="center"/>
    </xf>
    <xf numFmtId="0" fontId="3" fillId="0" borderId="1" xfId="0" applyFont="1" applyBorder="1" applyAlignment="1">
      <alignment wrapText="1"/>
    </xf>
    <xf numFmtId="4" fontId="2" fillId="0" borderId="1" xfId="0" applyNumberFormat="1" applyFont="1" applyBorder="1" applyAlignment="1">
      <alignment wrapText="1"/>
    </xf>
    <xf numFmtId="165" fontId="3" fillId="0" borderId="1" xfId="1" applyFont="1" applyBorder="1" applyAlignment="1">
      <alignment horizontal="right" wrapText="1"/>
    </xf>
    <xf numFmtId="165" fontId="2" fillId="0" borderId="1" xfId="1" applyFont="1" applyBorder="1" applyAlignment="1">
      <alignment horizontal="right" wrapText="1"/>
    </xf>
    <xf numFmtId="165" fontId="2" fillId="0" borderId="1" xfId="0" applyNumberFormat="1" applyFont="1" applyBorder="1" applyAlignment="1">
      <alignment wrapText="1"/>
    </xf>
    <xf numFmtId="0" fontId="3" fillId="0" borderId="1" xfId="0"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vertical="top"/>
    </xf>
    <xf numFmtId="0" fontId="2" fillId="0" borderId="1" xfId="0" applyFont="1" applyBorder="1" applyAlignment="1">
      <alignment horizontal="center" wrapText="1"/>
    </xf>
    <xf numFmtId="0" fontId="2" fillId="0" borderId="1" xfId="0" applyFont="1" applyBorder="1"/>
    <xf numFmtId="0" fontId="2" fillId="0" borderId="0" xfId="0" applyFont="1"/>
    <xf numFmtId="165" fontId="2" fillId="0" borderId="1" xfId="0" applyNumberFormat="1" applyFont="1" applyBorder="1" applyAlignment="1">
      <alignment horizontal="right" wrapText="1"/>
    </xf>
    <xf numFmtId="0" fontId="0" fillId="0" borderId="0" xfId="0" applyAlignment="1"/>
    <xf numFmtId="0" fontId="2" fillId="0" borderId="1" xfId="0" applyFont="1" applyBorder="1" applyAlignment="1">
      <alignment vertical="center" wrapText="1"/>
    </xf>
    <xf numFmtId="4" fontId="2" fillId="0" borderId="1" xfId="0" applyNumberFormat="1" applyFont="1" applyBorder="1" applyAlignment="1">
      <alignment horizontal="right" wrapText="1"/>
    </xf>
    <xf numFmtId="166" fontId="3" fillId="0" borderId="1" xfId="1" applyNumberFormat="1" applyFont="1" applyBorder="1" applyAlignment="1">
      <alignment horizontal="right" wrapText="1"/>
    </xf>
    <xf numFmtId="0" fontId="3" fillId="0" borderId="1" xfId="0" applyFont="1" applyBorder="1" applyAlignment="1">
      <alignment horizontal="left" vertical="center" wrapText="1"/>
    </xf>
    <xf numFmtId="0" fontId="2" fillId="0" borderId="1" xfId="0" applyFont="1" applyFill="1" applyBorder="1" applyAlignment="1">
      <alignment wrapText="1"/>
    </xf>
    <xf numFmtId="2" fontId="2" fillId="0" borderId="0" xfId="0" applyNumberFormat="1" applyFont="1" applyAlignment="1">
      <alignment wrapText="1"/>
    </xf>
    <xf numFmtId="2" fontId="3" fillId="0" borderId="1" xfId="0" applyNumberFormat="1" applyFont="1" applyBorder="1" applyAlignment="1">
      <alignment horizontal="center" wrapText="1"/>
    </xf>
    <xf numFmtId="2" fontId="2" fillId="0" borderId="0" xfId="0" applyNumberFormat="1" applyFont="1"/>
    <xf numFmtId="0" fontId="7" fillId="0" borderId="1" xfId="0" applyFont="1" applyBorder="1" applyAlignment="1">
      <alignment horizontal="center" wrapText="1"/>
    </xf>
    <xf numFmtId="0" fontId="2" fillId="0" borderId="2" xfId="0" applyFont="1" applyBorder="1"/>
    <xf numFmtId="3" fontId="2" fillId="0" borderId="3" xfId="0" applyNumberFormat="1" applyFont="1" applyBorder="1" applyAlignment="1">
      <alignment horizontal="left" wrapText="1"/>
    </xf>
    <xf numFmtId="3" fontId="2" fillId="0" borderId="7" xfId="0" applyNumberFormat="1" applyFont="1" applyBorder="1" applyAlignment="1">
      <alignment horizontal="right" vertical="top" wrapText="1"/>
    </xf>
    <xf numFmtId="0" fontId="2" fillId="0" borderId="0" xfId="0" applyFont="1" applyAlignment="1">
      <alignment horizontal="right" wrapText="1"/>
    </xf>
    <xf numFmtId="4" fontId="2" fillId="0" borderId="1" xfId="0" applyNumberFormat="1" applyFont="1" applyBorder="1"/>
    <xf numFmtId="4" fontId="2" fillId="0" borderId="1" xfId="0" applyNumberFormat="1" applyFont="1" applyFill="1" applyBorder="1" applyAlignment="1">
      <alignment wrapText="1"/>
    </xf>
    <xf numFmtId="4" fontId="2" fillId="0" borderId="6" xfId="0" applyNumberFormat="1" applyFont="1" applyBorder="1"/>
    <xf numFmtId="4" fontId="2" fillId="0" borderId="3" xfId="0" applyNumberFormat="1" applyFont="1" applyFill="1" applyBorder="1" applyAlignment="1">
      <alignment horizontal="right" wrapText="1"/>
    </xf>
    <xf numFmtId="4" fontId="3" fillId="0" borderId="1" xfId="0" applyNumberFormat="1" applyFont="1" applyBorder="1"/>
    <xf numFmtId="0" fontId="2" fillId="0" borderId="1" xfId="0" applyFont="1" applyBorder="1" applyAlignment="1">
      <alignment horizontal="center" vertical="top" wrapText="1"/>
    </xf>
    <xf numFmtId="165" fontId="2" fillId="0" borderId="1" xfId="1" applyFont="1" applyBorder="1" applyAlignment="1">
      <alignment horizontal="right" vertical="top" wrapText="1"/>
    </xf>
    <xf numFmtId="4" fontId="2" fillId="0" borderId="1" xfId="0" applyNumberFormat="1" applyFont="1" applyBorder="1" applyAlignment="1">
      <alignment vertical="top" wrapText="1"/>
    </xf>
    <xf numFmtId="165" fontId="2" fillId="0" borderId="1" xfId="0" applyNumberFormat="1" applyFont="1" applyBorder="1" applyAlignment="1">
      <alignment horizontal="right" vertical="top" wrapText="1"/>
    </xf>
    <xf numFmtId="0" fontId="8" fillId="0" borderId="0" xfId="0" applyFont="1" applyAlignment="1">
      <alignment vertical="center"/>
    </xf>
    <xf numFmtId="0" fontId="0" fillId="0" borderId="1" xfId="0" applyBorder="1"/>
    <xf numFmtId="0" fontId="5" fillId="0" borderId="9"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top"/>
    </xf>
    <xf numFmtId="0" fontId="5"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center" vertical="top"/>
    </xf>
    <xf numFmtId="0" fontId="2" fillId="0" borderId="0" xfId="0" applyFont="1" applyAlignment="1"/>
    <xf numFmtId="0" fontId="3" fillId="0" borderId="8" xfId="0" applyFont="1" applyBorder="1" applyAlignment="1">
      <alignment horizontal="left"/>
    </xf>
    <xf numFmtId="165" fontId="3" fillId="0" borderId="1" xfId="1" applyFont="1" applyBorder="1" applyAlignment="1">
      <alignment horizontal="right" vertical="top" wrapText="1"/>
    </xf>
    <xf numFmtId="0" fontId="2" fillId="0" borderId="0" xfId="0" applyFont="1" applyAlignment="1">
      <alignment horizontal="left"/>
    </xf>
    <xf numFmtId="0" fontId="2" fillId="0" borderId="0" xfId="0" applyFont="1" applyAlignment="1">
      <alignment horizontal="left" vertical="center" wrapText="1"/>
    </xf>
    <xf numFmtId="0" fontId="0" fillId="0" borderId="1" xfId="0" applyBorder="1" applyAlignment="1">
      <alignment vertical="center" wrapText="1"/>
    </xf>
    <xf numFmtId="4" fontId="2" fillId="0" borderId="0" xfId="0" applyNumberFormat="1" applyFont="1" applyAlignment="1">
      <alignment horizontal="left"/>
    </xf>
    <xf numFmtId="4" fontId="3" fillId="0" borderId="0" xfId="0" applyNumberFormat="1" applyFont="1" applyAlignment="1">
      <alignment horizontal="center" vertical="center" wrapText="1"/>
    </xf>
    <xf numFmtId="4" fontId="3" fillId="0" borderId="0" xfId="0" applyNumberFormat="1" applyFont="1" applyAlignment="1">
      <alignment horizontal="left"/>
    </xf>
    <xf numFmtId="0" fontId="2" fillId="0" borderId="4" xfId="0" applyFont="1" applyBorder="1"/>
    <xf numFmtId="0" fontId="7" fillId="0" borderId="11" xfId="0" applyFont="1" applyBorder="1" applyAlignment="1">
      <alignment wrapText="1"/>
    </xf>
    <xf numFmtId="0" fontId="7" fillId="0" borderId="9" xfId="0" applyFont="1" applyBorder="1" applyAlignment="1">
      <alignment wrapText="1"/>
    </xf>
    <xf numFmtId="0" fontId="0" fillId="0" borderId="2" xfId="0" applyBorder="1"/>
    <xf numFmtId="0" fontId="0" fillId="0" borderId="3" xfId="0" applyBorder="1"/>
    <xf numFmtId="0" fontId="0" fillId="0" borderId="8" xfId="0" applyBorder="1"/>
    <xf numFmtId="0" fontId="2" fillId="0" borderId="11" xfId="0" applyFont="1" applyBorder="1"/>
    <xf numFmtId="0" fontId="7" fillId="0" borderId="11" xfId="0" applyFont="1" applyBorder="1" applyAlignment="1">
      <alignment horizontal="right"/>
    </xf>
    <xf numFmtId="0" fontId="7" fillId="0" borderId="11" xfId="0" applyFont="1" applyBorder="1"/>
    <xf numFmtId="4" fontId="7" fillId="0" borderId="11" xfId="0" applyNumberFormat="1" applyFont="1" applyBorder="1"/>
    <xf numFmtId="0" fontId="7" fillId="0" borderId="1" xfId="0" applyFont="1" applyBorder="1"/>
    <xf numFmtId="4" fontId="7" fillId="0" borderId="1" xfId="0" applyNumberFormat="1" applyFont="1" applyBorder="1"/>
    <xf numFmtId="2" fontId="7" fillId="0" borderId="1" xfId="0" applyNumberFormat="1" applyFont="1" applyBorder="1"/>
    <xf numFmtId="0" fontId="7" fillId="0" borderId="9" xfId="0" applyFont="1" applyBorder="1"/>
    <xf numFmtId="0" fontId="10" fillId="0" borderId="8" xfId="0" applyFont="1" applyBorder="1"/>
    <xf numFmtId="165" fontId="7" fillId="0" borderId="1" xfId="0" applyNumberFormat="1" applyFont="1" applyBorder="1" applyAlignment="1">
      <alignment horizontal="right"/>
    </xf>
    <xf numFmtId="0" fontId="7" fillId="0" borderId="11" xfId="0" applyFont="1" applyBorder="1" applyAlignment="1">
      <alignment horizontal="right" wrapText="1"/>
    </xf>
    <xf numFmtId="2" fontId="7" fillId="0" borderId="1" xfId="0" applyNumberFormat="1" applyFont="1" applyBorder="1" applyAlignment="1">
      <alignment wrapText="1"/>
    </xf>
    <xf numFmtId="0" fontId="2" fillId="0" borderId="1" xfId="0" applyFont="1" applyBorder="1" applyAlignment="1">
      <alignment vertical="top"/>
    </xf>
    <xf numFmtId="0" fontId="0" fillId="0" borderId="8" xfId="0" applyBorder="1" applyAlignment="1">
      <alignment horizontal="center" vertical="top"/>
    </xf>
    <xf numFmtId="0" fontId="2" fillId="0" borderId="8" xfId="0" applyFont="1" applyBorder="1" applyAlignment="1">
      <alignment wrapText="1"/>
    </xf>
    <xf numFmtId="4" fontId="7" fillId="0" borderId="1" xfId="0" applyNumberFormat="1" applyFont="1" applyBorder="1" applyAlignment="1">
      <alignment wrapText="1"/>
    </xf>
    <xf numFmtId="0" fontId="2" fillId="0" borderId="0" xfId="0" applyFont="1" applyAlignment="1">
      <alignment horizontal="left"/>
    </xf>
    <xf numFmtId="0" fontId="3" fillId="0" borderId="0" xfId="0" applyFont="1" applyAlignment="1">
      <alignment horizontal="center" vertical="center" wrapText="1"/>
    </xf>
    <xf numFmtId="0" fontId="0" fillId="0" borderId="1" xfId="0" applyBorder="1" applyAlignment="1">
      <alignment vertical="top"/>
    </xf>
    <xf numFmtId="0" fontId="2" fillId="0" borderId="8" xfId="0" applyFont="1" applyFill="1" applyBorder="1" applyAlignment="1">
      <alignment wrapText="1"/>
    </xf>
    <xf numFmtId="0" fontId="5" fillId="0" borderId="1" xfId="0" applyFont="1" applyBorder="1" applyAlignment="1">
      <alignment vertical="top"/>
    </xf>
    <xf numFmtId="0" fontId="5" fillId="0" borderId="1" xfId="0" applyFont="1" applyBorder="1"/>
    <xf numFmtId="0" fontId="3" fillId="2" borderId="8" xfId="0" applyFont="1" applyFill="1" applyBorder="1" applyAlignment="1">
      <alignment wrapText="1"/>
    </xf>
    <xf numFmtId="0" fontId="2" fillId="2" borderId="9" xfId="0" applyFont="1" applyFill="1" applyBorder="1"/>
    <xf numFmtId="0" fontId="2" fillId="2" borderId="1" xfId="0" applyFont="1" applyFill="1" applyBorder="1"/>
    <xf numFmtId="4" fontId="3" fillId="2" borderId="1" xfId="0" applyNumberFormat="1" applyFont="1" applyFill="1" applyBorder="1"/>
    <xf numFmtId="3" fontId="2" fillId="0" borderId="8" xfId="0" applyNumberFormat="1" applyFont="1" applyBorder="1" applyAlignment="1">
      <alignment horizontal="right" vertical="top" wrapText="1"/>
    </xf>
    <xf numFmtId="4" fontId="2" fillId="0" borderId="9" xfId="0" applyNumberFormat="1" applyFont="1" applyBorder="1"/>
    <xf numFmtId="4" fontId="2" fillId="0" borderId="1" xfId="0" applyNumberFormat="1" applyFont="1" applyFill="1" applyBorder="1" applyAlignment="1">
      <alignment horizontal="right" wrapText="1"/>
    </xf>
    <xf numFmtId="0" fontId="2" fillId="0" borderId="0" xfId="0" applyFont="1" applyAlignment="1">
      <alignment horizontal="left"/>
    </xf>
    <xf numFmtId="0" fontId="3" fillId="0" borderId="0" xfId="0" applyFont="1" applyAlignment="1">
      <alignment horizontal="center" vertical="center" wrapText="1"/>
    </xf>
    <xf numFmtId="0" fontId="2" fillId="0" borderId="8"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wrapText="1"/>
    </xf>
    <xf numFmtId="0" fontId="0" fillId="0" borderId="1" xfId="0" applyBorder="1" applyAlignment="1">
      <alignment horizontal="center" vertical="center" wrapText="1"/>
    </xf>
    <xf numFmtId="4" fontId="3" fillId="0" borderId="1" xfId="0" applyNumberFormat="1" applyFont="1" applyBorder="1" applyAlignment="1">
      <alignment wrapText="1"/>
    </xf>
    <xf numFmtId="0" fontId="2" fillId="0" borderId="1" xfId="0" applyFont="1" applyBorder="1" applyAlignment="1">
      <alignment vertical="top" wrapText="1"/>
    </xf>
    <xf numFmtId="0" fontId="2" fillId="0" borderId="0" xfId="0" applyFont="1" applyAlignment="1">
      <alignment vertical="top" wrapText="1"/>
    </xf>
    <xf numFmtId="4" fontId="2" fillId="0" borderId="0" xfId="0" applyNumberFormat="1" applyFont="1" applyAlignment="1">
      <alignment wrapText="1"/>
    </xf>
    <xf numFmtId="4" fontId="2" fillId="0" borderId="1" xfId="0" applyNumberFormat="1" applyFont="1" applyBorder="1" applyAlignment="1">
      <alignment horizontal="right" vertical="top" wrapText="1"/>
    </xf>
    <xf numFmtId="4" fontId="3" fillId="0" borderId="1" xfId="0" applyNumberFormat="1" applyFont="1" applyBorder="1" applyAlignment="1">
      <alignment horizontal="right" wrapText="1"/>
    </xf>
    <xf numFmtId="4" fontId="0" fillId="0" borderId="0" xfId="0" applyNumberFormat="1"/>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3" xfId="0" applyFont="1" applyBorder="1" applyAlignment="1">
      <alignment horizontal="center" vertical="top"/>
    </xf>
    <xf numFmtId="0" fontId="7" fillId="0" borderId="11" xfId="0" applyFont="1" applyBorder="1" applyAlignment="1">
      <alignment horizontal="center" vertical="top"/>
    </xf>
    <xf numFmtId="0" fontId="2" fillId="2" borderId="1" xfId="0" applyFont="1" applyFill="1" applyBorder="1" applyAlignment="1">
      <alignment horizontal="center" vertical="top"/>
    </xf>
    <xf numFmtId="2" fontId="3" fillId="0" borderId="1" xfId="0" applyNumberFormat="1" applyFont="1" applyBorder="1" applyAlignment="1">
      <alignment horizontal="center" vertical="center" wrapText="1"/>
    </xf>
    <xf numFmtId="0" fontId="11" fillId="0" borderId="1" xfId="0" applyFont="1" applyBorder="1"/>
    <xf numFmtId="0" fontId="2" fillId="0" borderId="0" xfId="0" applyFont="1" applyAlignment="1">
      <alignment horizontal="left"/>
    </xf>
    <xf numFmtId="0" fontId="3" fillId="0" borderId="0" xfId="0" applyFont="1" applyAlignment="1">
      <alignment horizontal="center" vertical="center" wrapText="1"/>
    </xf>
    <xf numFmtId="4" fontId="3" fillId="3" borderId="1" xfId="0" applyNumberFormat="1" applyFont="1" applyFill="1" applyBorder="1"/>
    <xf numFmtId="0" fontId="0" fillId="0" borderId="0" xfId="0" applyFont="1"/>
    <xf numFmtId="3" fontId="2" fillId="0" borderId="1" xfId="0" applyNumberFormat="1" applyFont="1" applyBorder="1" applyAlignment="1">
      <alignment horizontal="right" vertical="top" wrapText="1"/>
    </xf>
    <xf numFmtId="0" fontId="2" fillId="0" borderId="1" xfId="0" applyFont="1" applyBorder="1" applyAlignment="1">
      <alignment horizontal="left" wrapText="1"/>
    </xf>
    <xf numFmtId="4" fontId="3" fillId="0" borderId="0" xfId="0" applyNumberFormat="1" applyFont="1" applyAlignment="1">
      <alignment horizontal="left" vertical="center" wrapText="1"/>
    </xf>
    <xf numFmtId="4" fontId="3" fillId="0" borderId="1" xfId="0" applyNumberFormat="1" applyFont="1" applyBorder="1" applyAlignment="1">
      <alignment horizontal="center" wrapText="1"/>
    </xf>
    <xf numFmtId="4" fontId="2" fillId="0" borderId="0" xfId="0" applyNumberFormat="1" applyFont="1"/>
    <xf numFmtId="0" fontId="5" fillId="0" borderId="0" xfId="0" applyFont="1"/>
    <xf numFmtId="0" fontId="2" fillId="0" borderId="0" xfId="0" applyFont="1" applyAlignment="1">
      <alignment horizontal="left"/>
    </xf>
    <xf numFmtId="0" fontId="3" fillId="0" borderId="1" xfId="0" applyFont="1" applyFill="1" applyBorder="1" applyAlignment="1">
      <alignment wrapText="1"/>
    </xf>
    <xf numFmtId="0" fontId="3" fillId="0" borderId="1" xfId="0" applyFont="1" applyBorder="1"/>
    <xf numFmtId="0" fontId="3" fillId="0" borderId="8" xfId="0" applyFont="1" applyBorder="1" applyAlignment="1">
      <alignment horizontal="left"/>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Alignment="1">
      <alignment horizontal="left"/>
    </xf>
    <xf numFmtId="0" fontId="3" fillId="0" borderId="0" xfId="0" applyFont="1" applyAlignment="1">
      <alignment horizontal="center" vertical="center" wrapText="1"/>
    </xf>
    <xf numFmtId="0" fontId="3" fillId="0" borderId="1" xfId="0" applyFont="1" applyFill="1" applyBorder="1" applyAlignment="1">
      <alignment horizontal="center" wrapText="1"/>
    </xf>
    <xf numFmtId="0" fontId="3" fillId="0" borderId="2" xfId="0" applyFont="1" applyFill="1" applyBorder="1" applyAlignment="1">
      <alignment horizontal="center" wrapText="1"/>
    </xf>
    <xf numFmtId="165" fontId="3" fillId="0" borderId="11" xfId="1" applyFont="1" applyBorder="1" applyAlignment="1">
      <alignment horizontal="right" wrapText="1"/>
    </xf>
    <xf numFmtId="0" fontId="16" fillId="0" borderId="1" xfId="0" applyFont="1" applyBorder="1" applyAlignment="1">
      <alignment horizontal="center" vertical="center" wrapText="1"/>
    </xf>
    <xf numFmtId="0" fontId="2" fillId="0" borderId="0" xfId="0" applyFont="1" applyAlignment="1">
      <alignment horizontal="right"/>
    </xf>
    <xf numFmtId="0" fontId="7" fillId="0" borderId="10" xfId="0" applyFont="1" applyBorder="1" applyAlignment="1">
      <alignment horizontal="right"/>
    </xf>
    <xf numFmtId="0" fontId="2" fillId="0" borderId="9" xfId="0" applyFont="1" applyBorder="1" applyAlignment="1">
      <alignment wrapText="1"/>
    </xf>
    <xf numFmtId="0" fontId="3" fillId="0" borderId="9" xfId="0" applyFont="1" applyBorder="1" applyAlignment="1">
      <alignment wrapText="1"/>
    </xf>
    <xf numFmtId="0" fontId="3"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4" fontId="3" fillId="0" borderId="1" xfId="0" applyNumberFormat="1" applyFont="1" applyBorder="1" applyAlignment="1">
      <alignment vertical="top" wrapText="1"/>
    </xf>
    <xf numFmtId="0" fontId="7" fillId="0" borderId="1" xfId="0" applyFont="1" applyFill="1" applyBorder="1" applyAlignment="1">
      <alignment vertical="top" wrapText="1"/>
    </xf>
    <xf numFmtId="0" fontId="3" fillId="0" borderId="1" xfId="0" applyFont="1" applyBorder="1" applyAlignment="1">
      <alignment horizontal="left"/>
    </xf>
    <xf numFmtId="4" fontId="2" fillId="0" borderId="1" xfId="0" applyNumberFormat="1" applyFont="1" applyBorder="1" applyAlignment="1">
      <alignment horizontal="center" wrapText="1"/>
    </xf>
    <xf numFmtId="4" fontId="3" fillId="0" borderId="9" xfId="0" applyNumberFormat="1" applyFont="1" applyBorder="1"/>
    <xf numFmtId="0" fontId="3" fillId="0" borderId="2" xfId="0" applyFont="1" applyFill="1" applyBorder="1" applyAlignment="1">
      <alignment wrapText="1"/>
    </xf>
    <xf numFmtId="4" fontId="3" fillId="0" borderId="2" xfId="0" applyNumberFormat="1" applyFont="1" applyBorder="1"/>
    <xf numFmtId="0" fontId="5" fillId="0" borderId="1" xfId="0" applyFont="1" applyBorder="1" applyAlignment="1">
      <alignment horizontal="center"/>
    </xf>
    <xf numFmtId="2" fontId="2" fillId="0" borderId="1" xfId="0" applyNumberFormat="1" applyFont="1" applyBorder="1"/>
    <xf numFmtId="0" fontId="7" fillId="0" borderId="1" xfId="0" applyFont="1" applyBorder="1" applyAlignment="1">
      <alignment wrapText="1"/>
    </xf>
    <xf numFmtId="165" fontId="3" fillId="0" borderId="1" xfId="0" applyNumberFormat="1" applyFont="1" applyBorder="1" applyAlignment="1">
      <alignment horizontal="left" vertical="top" wrapText="1"/>
    </xf>
    <xf numFmtId="2" fontId="7" fillId="0" borderId="1" xfId="0" applyNumberFormat="1" applyFont="1" applyBorder="1" applyAlignment="1">
      <alignment horizontal="right" wrapText="1"/>
    </xf>
    <xf numFmtId="2" fontId="7" fillId="0" borderId="1" xfId="0" applyNumberFormat="1" applyFont="1" applyBorder="1" applyAlignment="1">
      <alignment horizontal="right"/>
    </xf>
    <xf numFmtId="2" fontId="3" fillId="0" borderId="1" xfId="0" applyNumberFormat="1" applyFont="1" applyBorder="1"/>
    <xf numFmtId="0" fontId="0" fillId="0" borderId="0" xfId="0" applyAlignment="1">
      <alignment horizontal="right"/>
    </xf>
    <xf numFmtId="0" fontId="5" fillId="0" borderId="1" xfId="0" applyFont="1" applyBorder="1" applyAlignment="1">
      <alignment horizontal="center" vertical="top" wrapText="1"/>
    </xf>
    <xf numFmtId="0" fontId="2" fillId="0" borderId="0" xfId="0" applyFont="1" applyAlignment="1">
      <alignment horizontal="left"/>
    </xf>
    <xf numFmtId="0" fontId="3" fillId="0" borderId="8" xfId="0" applyFont="1" applyBorder="1" applyAlignment="1">
      <alignment horizontal="left"/>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0" fillId="0" borderId="1" xfId="0" applyBorder="1" applyAlignment="1">
      <alignment horizontal="center" vertical="top" wrapText="1"/>
    </xf>
    <xf numFmtId="0" fontId="5" fillId="0" borderId="1" xfId="0" applyFont="1" applyBorder="1" applyAlignment="1">
      <alignment vertical="top" wrapText="1"/>
    </xf>
    <xf numFmtId="0" fontId="2" fillId="0" borderId="0" xfId="0" applyFont="1" applyAlignment="1">
      <alignment horizontal="left"/>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wrapText="1"/>
    </xf>
    <xf numFmtId="4" fontId="3" fillId="0" borderId="1" xfId="0" applyNumberFormat="1" applyFont="1" applyBorder="1" applyAlignment="1">
      <alignment horizontal="right" vertical="center" wrapText="1"/>
    </xf>
    <xf numFmtId="0" fontId="3" fillId="0" borderId="0" xfId="0" applyFont="1" applyAlignment="1">
      <alignment wrapText="1"/>
    </xf>
    <xf numFmtId="4" fontId="3" fillId="0" borderId="1" xfId="0" applyNumberFormat="1" applyFont="1" applyBorder="1" applyAlignment="1">
      <alignment vertical="center"/>
    </xf>
    <xf numFmtId="4"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165" fontId="2" fillId="0" borderId="1" xfId="1" applyFont="1" applyBorder="1" applyAlignment="1">
      <alignment horizontal="right" vertical="center" wrapText="1"/>
    </xf>
    <xf numFmtId="165" fontId="2" fillId="0" borderId="1" xfId="0" applyNumberFormat="1" applyFont="1" applyBorder="1" applyAlignment="1">
      <alignment horizontal="right" vertical="center" wrapText="1"/>
    </xf>
    <xf numFmtId="165" fontId="3" fillId="0" borderId="1" xfId="1" applyFont="1" applyBorder="1" applyAlignment="1">
      <alignment horizontal="right" vertical="center" wrapText="1"/>
    </xf>
    <xf numFmtId="166" fontId="3" fillId="0" borderId="1" xfId="0" applyNumberFormat="1" applyFont="1" applyBorder="1" applyAlignment="1">
      <alignment horizontal="right" vertical="center"/>
    </xf>
    <xf numFmtId="0" fontId="2" fillId="0" borderId="11" xfId="0" applyFont="1" applyBorder="1" applyAlignment="1">
      <alignment vertical="center"/>
    </xf>
    <xf numFmtId="2" fontId="7" fillId="0" borderId="1" xfId="0" applyNumberFormat="1" applyFont="1" applyBorder="1" applyAlignment="1">
      <alignment vertical="center"/>
    </xf>
    <xf numFmtId="0" fontId="7" fillId="0" borderId="9" xfId="0" applyFont="1" applyBorder="1" applyAlignment="1">
      <alignment vertical="center"/>
    </xf>
    <xf numFmtId="167" fontId="0" fillId="0" borderId="0" xfId="0" applyNumberFormat="1"/>
    <xf numFmtId="167" fontId="2" fillId="0" borderId="0" xfId="0" applyNumberFormat="1" applyFont="1" applyAlignment="1">
      <alignment wrapText="1"/>
    </xf>
    <xf numFmtId="167" fontId="3" fillId="0" borderId="1" xfId="1" applyNumberFormat="1" applyFont="1" applyBorder="1" applyAlignment="1">
      <alignment horizontal="right" wrapText="1"/>
    </xf>
    <xf numFmtId="167" fontId="2" fillId="0" borderId="1" xfId="1" applyNumberFormat="1" applyFont="1" applyBorder="1" applyAlignment="1">
      <alignment horizontal="right" wrapText="1"/>
    </xf>
    <xf numFmtId="0" fontId="18" fillId="0" borderId="1" xfId="0" applyFont="1" applyBorder="1" applyAlignment="1">
      <alignment wrapText="1"/>
    </xf>
    <xf numFmtId="167" fontId="3" fillId="0" borderId="1" xfId="0" applyNumberFormat="1" applyFont="1" applyBorder="1" applyAlignment="1">
      <alignment horizontal="center" vertical="center" wrapText="1"/>
    </xf>
    <xf numFmtId="0" fontId="2" fillId="0" borderId="10" xfId="0" applyFont="1" applyBorder="1" applyAlignment="1">
      <alignment wrapText="1"/>
    </xf>
    <xf numFmtId="167" fontId="2" fillId="0" borderId="10" xfId="0" applyNumberFormat="1" applyFont="1" applyBorder="1" applyAlignment="1">
      <alignment horizontal="left" wrapText="1"/>
    </xf>
    <xf numFmtId="0" fontId="9" fillId="0" borderId="0" xfId="0" applyFont="1" applyBorder="1" applyAlignment="1">
      <alignment vertical="center" wrapText="1"/>
    </xf>
    <xf numFmtId="165" fontId="2" fillId="0" borderId="0" xfId="1" applyFont="1" applyBorder="1" applyAlignment="1">
      <alignment horizontal="right" vertical="top" wrapText="1"/>
    </xf>
    <xf numFmtId="4" fontId="2" fillId="0" borderId="0" xfId="0" applyNumberFormat="1" applyFont="1" applyBorder="1" applyAlignment="1">
      <alignment vertical="top" wrapText="1"/>
    </xf>
    <xf numFmtId="4" fontId="3" fillId="0" borderId="11" xfId="0" applyNumberFormat="1" applyFont="1" applyBorder="1"/>
    <xf numFmtId="0" fontId="3" fillId="2" borderId="1" xfId="0" applyFont="1" applyFill="1" applyBorder="1" applyAlignment="1">
      <alignment wrapText="1"/>
    </xf>
    <xf numFmtId="0" fontId="3" fillId="0" borderId="1" xfId="0" applyFont="1" applyBorder="1" applyAlignment="1">
      <alignment horizontal="left" wrapText="1"/>
    </xf>
    <xf numFmtId="0" fontId="3" fillId="3" borderId="1" xfId="0" applyFont="1" applyFill="1" applyBorder="1" applyAlignment="1">
      <alignment wrapText="1"/>
    </xf>
    <xf numFmtId="4" fontId="3" fillId="3" borderId="1" xfId="0" applyNumberFormat="1" applyFont="1" applyFill="1" applyBorder="1" applyAlignment="1">
      <alignment wrapText="1"/>
    </xf>
    <xf numFmtId="0" fontId="3" fillId="0" borderId="0" xfId="0" applyFont="1" applyAlignment="1">
      <alignment horizontal="center" vertical="center" wrapText="1"/>
    </xf>
    <xf numFmtId="0" fontId="2" fillId="0" borderId="0" xfId="0" applyFont="1" applyAlignment="1">
      <alignment horizontal="left"/>
    </xf>
    <xf numFmtId="0" fontId="3" fillId="0" borderId="1" xfId="0" applyFont="1" applyBorder="1" applyAlignment="1">
      <alignment horizontal="left"/>
    </xf>
    <xf numFmtId="0" fontId="2" fillId="0" borderId="0" xfId="0" applyFont="1" applyAlignment="1">
      <alignment horizontal="left" vertical="center" wrapText="1"/>
    </xf>
    <xf numFmtId="0" fontId="3" fillId="0" borderId="10" xfId="0" applyFont="1" applyBorder="1" applyAlignment="1">
      <alignment horizontal="center" vertical="center" wrapText="1"/>
    </xf>
    <xf numFmtId="0" fontId="20" fillId="0" borderId="0" xfId="0" applyFont="1" applyAlignment="1">
      <alignment vertical="center" wrapText="1"/>
    </xf>
    <xf numFmtId="0" fontId="2" fillId="0" borderId="1" xfId="0" applyFont="1" applyBorder="1" applyAlignment="1">
      <alignment horizontal="left"/>
    </xf>
    <xf numFmtId="0" fontId="13" fillId="0" borderId="0" xfId="0" applyFont="1" applyAlignment="1">
      <alignment horizontal="justify" vertical="center"/>
    </xf>
    <xf numFmtId="0" fontId="0" fillId="0" borderId="0" xfId="0" applyFill="1" applyAlignment="1">
      <alignment wrapText="1"/>
    </xf>
    <xf numFmtId="0" fontId="0" fillId="0" borderId="1" xfId="0" applyFont="1" applyBorder="1" applyAlignment="1">
      <alignment wrapText="1"/>
    </xf>
    <xf numFmtId="0" fontId="0" fillId="0" borderId="0" xfId="0" applyFont="1" applyAlignment="1">
      <alignment wrapText="1"/>
    </xf>
    <xf numFmtId="165" fontId="2" fillId="0" borderId="0" xfId="0" applyNumberFormat="1" applyFont="1" applyAlignment="1"/>
    <xf numFmtId="4" fontId="3" fillId="0" borderId="0" xfId="0" applyNumberFormat="1" applyFont="1" applyAlignment="1">
      <alignment horizontal="right" vertical="center" wrapText="1"/>
    </xf>
    <xf numFmtId="4" fontId="3" fillId="0" borderId="0" xfId="0" applyNumberFormat="1" applyFont="1" applyAlignment="1">
      <alignment horizontal="right"/>
    </xf>
    <xf numFmtId="0" fontId="2" fillId="0" borderId="3" xfId="0" applyFont="1" applyBorder="1" applyAlignment="1">
      <alignment wrapText="1"/>
    </xf>
    <xf numFmtId="0" fontId="2" fillId="0" borderId="3" xfId="0" applyFont="1" applyBorder="1" applyAlignment="1">
      <alignment horizontal="center" vertical="top" wrapText="1"/>
    </xf>
    <xf numFmtId="4" fontId="2" fillId="0" borderId="3" xfId="0" applyNumberFormat="1" applyFont="1" applyBorder="1" applyAlignment="1">
      <alignment wrapText="1"/>
    </xf>
    <xf numFmtId="4" fontId="3" fillId="0" borderId="1" xfId="0" applyNumberFormat="1" applyFont="1" applyFill="1" applyBorder="1"/>
    <xf numFmtId="0" fontId="2" fillId="0" borderId="10" xfId="0" applyFont="1" applyBorder="1" applyAlignment="1"/>
    <xf numFmtId="0" fontId="2" fillId="0" borderId="0" xfId="0" applyFont="1" applyAlignment="1">
      <alignment horizontal="right" vertical="center"/>
    </xf>
    <xf numFmtId="165" fontId="3" fillId="0" borderId="0" xfId="0" applyNumberFormat="1" applyFont="1" applyAlignment="1">
      <alignment horizontal="center" vertical="center" wrapText="1"/>
    </xf>
    <xf numFmtId="0" fontId="16" fillId="0" borderId="0" xfId="0" applyFont="1" applyAlignment="1">
      <alignment horizontal="justify" vertical="center"/>
    </xf>
    <xf numFmtId="0" fontId="5" fillId="0" borderId="1" xfId="0" applyFont="1" applyBorder="1" applyAlignment="1">
      <alignment horizontal="center" vertical="center" wrapText="1"/>
    </xf>
    <xf numFmtId="0" fontId="3" fillId="0" borderId="1" xfId="0" applyFont="1" applyBorder="1" applyAlignment="1">
      <alignment horizontal="left"/>
    </xf>
    <xf numFmtId="0" fontId="7" fillId="0" borderId="1" xfId="0" applyFont="1" applyBorder="1" applyAlignment="1">
      <alignment horizontal="center" wrapText="1"/>
    </xf>
    <xf numFmtId="0" fontId="0" fillId="0" borderId="9" xfId="0" applyBorder="1"/>
    <xf numFmtId="0" fontId="10" fillId="0" borderId="8" xfId="0" applyFont="1" applyBorder="1" applyAlignment="1">
      <alignment horizontal="right"/>
    </xf>
    <xf numFmtId="0" fontId="3" fillId="0" borderId="2" xfId="0" applyFont="1" applyBorder="1" applyAlignment="1">
      <alignment wrapText="1"/>
    </xf>
    <xf numFmtId="165" fontId="3" fillId="0" borderId="2" xfId="1" applyFont="1" applyBorder="1" applyAlignment="1">
      <alignment horizontal="right" vertical="top" wrapText="1"/>
    </xf>
    <xf numFmtId="165" fontId="3" fillId="0" borderId="1" xfId="0" applyNumberFormat="1" applyFont="1" applyBorder="1" applyAlignment="1">
      <alignment horizontal="right" vertical="top" wrapText="1"/>
    </xf>
    <xf numFmtId="2" fontId="5" fillId="0" borderId="9" xfId="0" applyNumberFormat="1" applyFont="1" applyBorder="1"/>
    <xf numFmtId="0" fontId="8" fillId="0" borderId="0" xfId="0" applyFont="1" applyAlignment="1">
      <alignment vertical="top"/>
    </xf>
    <xf numFmtId="0" fontId="2" fillId="0" borderId="0" xfId="0" applyFont="1" applyAlignment="1">
      <alignment vertical="top"/>
    </xf>
    <xf numFmtId="0" fontId="0" fillId="0" borderId="0" xfId="0" applyAlignment="1">
      <alignment vertical="top"/>
    </xf>
    <xf numFmtId="0" fontId="21" fillId="0" borderId="0" xfId="0" applyFont="1" applyAlignment="1">
      <alignment horizontal="center" vertical="center"/>
    </xf>
    <xf numFmtId="0" fontId="7" fillId="0" borderId="1" xfId="0" applyFont="1" applyBorder="1" applyAlignment="1">
      <alignment horizontal="right"/>
    </xf>
    <xf numFmtId="0" fontId="7" fillId="0" borderId="1" xfId="0" applyFont="1" applyFill="1" applyBorder="1" applyAlignment="1">
      <alignment wrapText="1"/>
    </xf>
    <xf numFmtId="0" fontId="11" fillId="3" borderId="1" xfId="0" applyFont="1" applyFill="1" applyBorder="1" applyAlignment="1">
      <alignment wrapText="1"/>
    </xf>
    <xf numFmtId="4" fontId="7" fillId="0" borderId="1" xfId="0" applyNumberFormat="1" applyFont="1" applyBorder="1" applyAlignment="1">
      <alignment horizontal="center" wrapText="1"/>
    </xf>
    <xf numFmtId="0" fontId="7" fillId="4" borderId="1" xfId="0" applyFont="1" applyFill="1" applyBorder="1" applyAlignment="1">
      <alignment horizontal="left" vertical="top" wrapText="1"/>
    </xf>
    <xf numFmtId="4" fontId="7" fillId="4" borderId="1" xfId="0" applyNumberFormat="1" applyFont="1" applyFill="1" applyBorder="1" applyAlignment="1">
      <alignment horizontal="right" vertical="top" wrapText="1"/>
    </xf>
    <xf numFmtId="0" fontId="5" fillId="5" borderId="1" xfId="0" applyFont="1" applyFill="1" applyBorder="1"/>
    <xf numFmtId="0" fontId="3" fillId="5" borderId="1" xfId="0" applyFont="1" applyFill="1" applyBorder="1" applyAlignment="1">
      <alignment wrapText="1"/>
    </xf>
    <xf numFmtId="0" fontId="3" fillId="5" borderId="1" xfId="0" applyFont="1" applyFill="1" applyBorder="1"/>
    <xf numFmtId="4" fontId="3" fillId="5" borderId="1" xfId="0" applyNumberFormat="1" applyFont="1" applyFill="1" applyBorder="1"/>
    <xf numFmtId="4" fontId="3" fillId="5" borderId="1" xfId="0" applyNumberFormat="1" applyFont="1" applyFill="1" applyBorder="1" applyAlignment="1">
      <alignment wrapText="1"/>
    </xf>
    <xf numFmtId="0" fontId="0" fillId="5" borderId="1" xfId="0" applyFill="1" applyBorder="1"/>
    <xf numFmtId="4" fontId="3" fillId="0" borderId="1" xfId="0" applyNumberFormat="1" applyFont="1" applyFill="1" applyBorder="1" applyAlignment="1">
      <alignment wrapText="1"/>
    </xf>
    <xf numFmtId="0" fontId="2" fillId="0" borderId="1" xfId="0" applyFont="1" applyFill="1" applyBorder="1"/>
    <xf numFmtId="0" fontId="3" fillId="0" borderId="8" xfId="0" applyFont="1" applyBorder="1" applyAlignment="1">
      <alignment horizontal="left"/>
    </xf>
    <xf numFmtId="0" fontId="7" fillId="0" borderId="1" xfId="0" applyFont="1" applyBorder="1" applyAlignment="1">
      <alignment horizontal="center" wrapText="1"/>
    </xf>
    <xf numFmtId="0" fontId="3" fillId="0" borderId="1" xfId="0" applyFont="1" applyBorder="1" applyAlignment="1">
      <alignment horizontal="left"/>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5" fillId="0" borderId="1" xfId="0" applyFont="1" applyFill="1" applyBorder="1"/>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4" fontId="2" fillId="0" borderId="1" xfId="1" applyNumberFormat="1" applyFont="1" applyFill="1" applyBorder="1" applyAlignment="1">
      <alignment horizontal="right" vertical="top" wrapText="1"/>
    </xf>
    <xf numFmtId="4" fontId="17" fillId="0" borderId="1" xfId="0" applyNumberFormat="1" applyFont="1" applyFill="1" applyBorder="1" applyAlignment="1">
      <alignment horizontal="right" vertical="top" wrapText="1"/>
    </xf>
    <xf numFmtId="4" fontId="2" fillId="0" borderId="1" xfId="0" applyNumberFormat="1" applyFont="1" applyFill="1" applyBorder="1" applyAlignment="1">
      <alignment horizontal="right" vertical="top" wrapText="1"/>
    </xf>
    <xf numFmtId="0" fontId="0" fillId="0" borderId="1" xfId="0" applyFill="1" applyBorder="1"/>
    <xf numFmtId="0" fontId="2" fillId="0" borderId="1" xfId="0" applyFont="1" applyFill="1" applyBorder="1" applyAlignment="1">
      <alignment horizontal="center" wrapText="1"/>
    </xf>
    <xf numFmtId="0" fontId="0" fillId="0" borderId="2" xfId="0" applyFill="1" applyBorder="1"/>
    <xf numFmtId="0" fontId="3" fillId="0" borderId="2" xfId="0" applyFont="1" applyFill="1" applyBorder="1" applyAlignment="1">
      <alignment vertical="top" wrapText="1"/>
    </xf>
    <xf numFmtId="4" fontId="3" fillId="0" borderId="2" xfId="0" applyNumberFormat="1" applyFont="1" applyFill="1" applyBorder="1" applyAlignment="1">
      <alignment horizontal="right" vertical="top" wrapText="1"/>
    </xf>
    <xf numFmtId="4" fontId="3" fillId="0" borderId="1" xfId="0" applyNumberFormat="1" applyFont="1" applyFill="1" applyBorder="1" applyAlignment="1">
      <alignment horizontal="right" vertical="top" wrapText="1"/>
    </xf>
    <xf numFmtId="0" fontId="5" fillId="0" borderId="2" xfId="0" applyFont="1" applyFill="1" applyBorder="1"/>
    <xf numFmtId="0" fontId="2" fillId="0" borderId="2" xfId="0" applyFont="1" applyFill="1" applyBorder="1" applyAlignment="1">
      <alignment vertical="top" wrapText="1"/>
    </xf>
    <xf numFmtId="0" fontId="2" fillId="0" borderId="2" xfId="0" applyFont="1" applyFill="1" applyBorder="1" applyAlignment="1">
      <alignment horizontal="center" wrapText="1"/>
    </xf>
    <xf numFmtId="4" fontId="2" fillId="0" borderId="2" xfId="0" applyNumberFormat="1" applyFont="1" applyFill="1" applyBorder="1" applyAlignment="1">
      <alignment horizontal="right" vertical="top" wrapText="1"/>
    </xf>
    <xf numFmtId="4" fontId="2" fillId="0" borderId="0" xfId="0" applyNumberFormat="1" applyFont="1" applyFill="1" applyAlignment="1">
      <alignment horizontal="right" vertical="top" wrapText="1"/>
    </xf>
    <xf numFmtId="0" fontId="3" fillId="0" borderId="1" xfId="0" applyFont="1" applyFill="1" applyBorder="1" applyAlignment="1">
      <alignment vertical="top" wrapText="1"/>
    </xf>
    <xf numFmtId="0" fontId="0" fillId="0" borderId="8" xfId="0" applyFill="1" applyBorder="1"/>
    <xf numFmtId="0" fontId="7" fillId="0" borderId="11" xfId="0" applyFont="1" applyFill="1" applyBorder="1" applyAlignment="1">
      <alignment horizontal="right"/>
    </xf>
    <xf numFmtId="0" fontId="7" fillId="0" borderId="11" xfId="0" applyFont="1" applyFill="1" applyBorder="1"/>
    <xf numFmtId="2" fontId="7" fillId="0" borderId="1" xfId="0" applyNumberFormat="1" applyFont="1" applyFill="1" applyBorder="1"/>
    <xf numFmtId="0" fontId="7" fillId="0" borderId="9" xfId="0" applyFont="1" applyFill="1" applyBorder="1"/>
    <xf numFmtId="0" fontId="0" fillId="0" borderId="0" xfId="0" applyFill="1"/>
    <xf numFmtId="0" fontId="2" fillId="0" borderId="0" xfId="0" applyFont="1" applyFill="1" applyAlignment="1">
      <alignment vertical="top" wrapText="1"/>
    </xf>
    <xf numFmtId="0" fontId="2" fillId="0" borderId="0" xfId="0" applyFont="1" applyFill="1" applyAlignment="1">
      <alignment horizontal="center" wrapText="1"/>
    </xf>
    <xf numFmtId="4" fontId="2" fillId="0" borderId="0" xfId="0" applyNumberFormat="1" applyFont="1" applyFill="1" applyAlignment="1">
      <alignment wrapText="1"/>
    </xf>
    <xf numFmtId="4" fontId="2" fillId="0" borderId="0" xfId="0" applyNumberFormat="1" applyFont="1" applyFill="1" applyAlignment="1">
      <alignment horizontal="right" wrapText="1"/>
    </xf>
    <xf numFmtId="0" fontId="2" fillId="0" borderId="0" xfId="0" applyFont="1" applyFill="1" applyAlignment="1">
      <alignment wrapText="1"/>
    </xf>
    <xf numFmtId="43" fontId="2" fillId="0" borderId="1" xfId="0" applyNumberFormat="1" applyFont="1" applyBorder="1" applyAlignment="1">
      <alignment horizontal="right" wrapText="1"/>
    </xf>
    <xf numFmtId="165" fontId="3" fillId="0" borderId="2" xfId="1" applyFont="1" applyBorder="1" applyAlignment="1">
      <alignment horizontal="right" wrapText="1"/>
    </xf>
    <xf numFmtId="43" fontId="2" fillId="0" borderId="2" xfId="0" applyNumberFormat="1" applyFont="1" applyBorder="1" applyAlignment="1">
      <alignment horizontal="right" wrapText="1"/>
    </xf>
    <xf numFmtId="2" fontId="7" fillId="0" borderId="9" xfId="0" applyNumberFormat="1" applyFont="1" applyBorder="1" applyAlignment="1">
      <alignment horizontal="right"/>
    </xf>
    <xf numFmtId="0" fontId="5" fillId="0" borderId="2" xfId="0" applyFont="1" applyBorder="1" applyAlignment="1">
      <alignment horizontal="center"/>
    </xf>
    <xf numFmtId="0" fontId="2" fillId="0" borderId="2" xfId="0" applyFont="1" applyBorder="1" applyAlignment="1">
      <alignment wrapText="1"/>
    </xf>
    <xf numFmtId="165" fontId="2" fillId="0" borderId="2" xfId="1" applyFont="1" applyBorder="1" applyAlignment="1">
      <alignment horizontal="right" wrapText="1"/>
    </xf>
    <xf numFmtId="4" fontId="2" fillId="0" borderId="2" xfId="0" applyNumberFormat="1" applyFont="1" applyBorder="1" applyAlignment="1">
      <alignment wrapText="1"/>
    </xf>
    <xf numFmtId="0" fontId="7" fillId="0" borderId="1" xfId="0" applyFont="1" applyBorder="1" applyAlignment="1">
      <alignment horizontal="left" wrapText="1"/>
    </xf>
    <xf numFmtId="0" fontId="7" fillId="0" borderId="1" xfId="0" applyFont="1" applyFill="1" applyBorder="1" applyAlignment="1">
      <alignment horizontal="left" wrapText="1"/>
    </xf>
    <xf numFmtId="0" fontId="23" fillId="0" borderId="1" xfId="0" applyFont="1" applyBorder="1" applyAlignment="1">
      <alignment horizontal="left"/>
    </xf>
    <xf numFmtId="4" fontId="23" fillId="0" borderId="1" xfId="0" applyNumberFormat="1" applyFont="1" applyBorder="1"/>
    <xf numFmtId="0" fontId="0" fillId="0" borderId="9" xfId="0" applyFont="1" applyBorder="1" applyAlignment="1">
      <alignment horizontal="left" vertical="center" wrapText="1"/>
    </xf>
    <xf numFmtId="4" fontId="3" fillId="0" borderId="1" xfId="0" applyNumberFormat="1" applyFont="1" applyBorder="1" applyAlignment="1">
      <alignment horizontal="center" vertical="top" wrapText="1"/>
    </xf>
    <xf numFmtId="0" fontId="3"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left" vertical="top" wrapText="1"/>
    </xf>
    <xf numFmtId="0" fontId="2" fillId="0" borderId="11" xfId="0" applyFont="1" applyBorder="1" applyAlignment="1">
      <alignment vertical="top" wrapText="1"/>
    </xf>
    <xf numFmtId="0" fontId="7" fillId="0" borderId="8" xfId="0" applyFont="1" applyBorder="1" applyAlignment="1">
      <alignment horizontal="right" vertical="top" wrapText="1"/>
    </xf>
    <xf numFmtId="0" fontId="7" fillId="0" borderId="11" xfId="0" applyFont="1" applyBorder="1" applyAlignment="1">
      <alignment vertical="top" wrapText="1"/>
    </xf>
    <xf numFmtId="0" fontId="7" fillId="0" borderId="9" xfId="0" applyFont="1" applyBorder="1" applyAlignment="1">
      <alignment vertical="top" wrapText="1"/>
    </xf>
    <xf numFmtId="0" fontId="0" fillId="4" borderId="1" xfId="0" applyFill="1" applyBorder="1"/>
    <xf numFmtId="4" fontId="3" fillId="4" borderId="1" xfId="0" applyNumberFormat="1" applyFont="1" applyFill="1" applyBorder="1"/>
    <xf numFmtId="0" fontId="3" fillId="4" borderId="1" xfId="0" applyFont="1" applyFill="1" applyBorder="1" applyAlignment="1">
      <alignment horizontal="left"/>
    </xf>
    <xf numFmtId="43" fontId="3" fillId="0" borderId="2" xfId="0" applyNumberFormat="1" applyFont="1" applyBorder="1" applyAlignment="1">
      <alignment horizontal="right" wrapText="1"/>
    </xf>
    <xf numFmtId="165" fontId="3" fillId="0" borderId="0" xfId="0" applyNumberFormat="1" applyFont="1" applyAlignment="1">
      <alignment horizontal="left" vertical="top" wrapText="1"/>
    </xf>
    <xf numFmtId="0" fontId="6" fillId="0" borderId="0" xfId="0" applyFont="1" applyBorder="1" applyAlignment="1">
      <alignment horizontal="left" vertical="center" wrapText="1"/>
    </xf>
    <xf numFmtId="165" fontId="6" fillId="0" borderId="0" xfId="0" applyNumberFormat="1" applyFont="1" applyBorder="1" applyAlignment="1">
      <alignment horizontal="left" vertical="center" wrapText="1"/>
    </xf>
    <xf numFmtId="0" fontId="2" fillId="0" borderId="10" xfId="0" applyFont="1" applyFill="1" applyBorder="1" applyAlignment="1">
      <alignment horizontal="left" vertical="top" wrapText="1"/>
    </xf>
    <xf numFmtId="0" fontId="3"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left" vertical="center" wrapText="1"/>
    </xf>
    <xf numFmtId="0" fontId="2" fillId="0" borderId="0" xfId="0" applyFont="1" applyAlignment="1">
      <alignment horizontal="left" wrapText="1"/>
    </xf>
    <xf numFmtId="167" fontId="2" fillId="0" borderId="0" xfId="0" applyNumberFormat="1" applyFont="1" applyAlignment="1">
      <alignment horizontal="right" wrapText="1"/>
    </xf>
    <xf numFmtId="0" fontId="2" fillId="0" borderId="10" xfId="0" applyFont="1" applyBorder="1"/>
    <xf numFmtId="2" fontId="2" fillId="0" borderId="0" xfId="0" applyNumberFormat="1" applyFont="1" applyAlignment="1">
      <alignment horizontal="right"/>
    </xf>
    <xf numFmtId="4" fontId="2" fillId="0" borderId="10" xfId="0" applyNumberFormat="1" applyFont="1" applyBorder="1" applyAlignment="1"/>
    <xf numFmtId="0" fontId="2" fillId="0" borderId="10" xfId="0" applyFont="1" applyFill="1" applyBorder="1" applyAlignment="1">
      <alignment horizontal="center" wrapText="1"/>
    </xf>
    <xf numFmtId="4" fontId="2" fillId="0" borderId="0" xfId="0" applyNumberFormat="1" applyFont="1" applyFill="1" applyAlignment="1">
      <alignment horizontal="left" wrapText="1"/>
    </xf>
    <xf numFmtId="4" fontId="2" fillId="0" borderId="10" xfId="0" applyNumberFormat="1" applyFont="1" applyBorder="1"/>
    <xf numFmtId="4" fontId="2" fillId="0" borderId="0" xfId="0" applyNumberFormat="1" applyFont="1" applyAlignment="1">
      <alignment horizontal="right"/>
    </xf>
    <xf numFmtId="0" fontId="0" fillId="0" borderId="10" xfId="0" applyBorder="1"/>
    <xf numFmtId="0" fontId="2" fillId="0" borderId="10" xfId="0" applyFont="1" applyBorder="1" applyAlignment="1">
      <alignment horizontal="center" vertical="top"/>
    </xf>
    <xf numFmtId="0" fontId="2" fillId="0" borderId="0" xfId="0" applyFont="1" applyBorder="1"/>
    <xf numFmtId="0" fontId="2" fillId="0" borderId="10" xfId="0" applyFont="1" applyBorder="1" applyAlignment="1">
      <alignment vertical="center"/>
    </xf>
    <xf numFmtId="165" fontId="0" fillId="0" borderId="0" xfId="0" applyNumberFormat="1" applyFont="1" applyAlignment="1"/>
    <xf numFmtId="0" fontId="3" fillId="0" borderId="0" xfId="0" applyFont="1" applyAlignment="1">
      <alignment horizontal="center" vertical="center" wrapText="1"/>
    </xf>
    <xf numFmtId="0" fontId="2" fillId="0" borderId="0" xfId="0" applyFont="1" applyAlignment="1">
      <alignment horizontal="left"/>
    </xf>
    <xf numFmtId="0" fontId="3" fillId="0" borderId="8" xfId="0" applyFont="1" applyBorder="1" applyAlignment="1">
      <alignment horizontal="left"/>
    </xf>
    <xf numFmtId="0" fontId="2" fillId="0" borderId="0" xfId="0" applyFont="1" applyAlignment="1">
      <alignment horizontal="left" vertical="center" wrapText="1"/>
    </xf>
    <xf numFmtId="0" fontId="7" fillId="0" borderId="11" xfId="0" applyFont="1" applyBorder="1" applyAlignment="1">
      <alignment horizontal="right"/>
    </xf>
    <xf numFmtId="0" fontId="27" fillId="0" borderId="0" xfId="0" applyFont="1" applyAlignment="1">
      <alignment wrapText="1"/>
    </xf>
    <xf numFmtId="0" fontId="26" fillId="0" borderId="0" xfId="0" applyFont="1"/>
    <xf numFmtId="0" fontId="7" fillId="0" borderId="11" xfId="0" applyFont="1" applyBorder="1" applyAlignment="1">
      <alignment horizontal="right"/>
    </xf>
    <xf numFmtId="0" fontId="2" fillId="0" borderId="0" xfId="0" applyFont="1" applyAlignment="1">
      <alignment horizontal="left"/>
    </xf>
    <xf numFmtId="0" fontId="7" fillId="0" borderId="11" xfId="0" applyFont="1" applyFill="1" applyBorder="1" applyAlignment="1">
      <alignment horizontal="center" wrapText="1"/>
    </xf>
    <xf numFmtId="0" fontId="7" fillId="0" borderId="9" xfId="0" applyFont="1" applyFill="1" applyBorder="1" applyAlignment="1">
      <alignment horizontal="center" wrapText="1"/>
    </xf>
    <xf numFmtId="0" fontId="7" fillId="0" borderId="11" xfId="0" applyFont="1" applyBorder="1" applyAlignment="1">
      <alignment horizontal="right"/>
    </xf>
    <xf numFmtId="0" fontId="0" fillId="0" borderId="0" xfId="0" applyAlignment="1">
      <alignment horizontal="left" wrapText="1"/>
    </xf>
    <xf numFmtId="0" fontId="0" fillId="0" borderId="0" xfId="0" applyFill="1" applyAlignment="1">
      <alignment horizontal="left" wrapText="1"/>
    </xf>
    <xf numFmtId="0" fontId="3" fillId="0" borderId="8" xfId="0" applyFont="1" applyBorder="1" applyAlignment="1">
      <alignment horizontal="left"/>
    </xf>
    <xf numFmtId="0" fontId="0" fillId="0" borderId="0" xfId="0" applyAlignment="1">
      <alignment horizontal="left" vertical="top"/>
    </xf>
    <xf numFmtId="0" fontId="18" fillId="0" borderId="0" xfId="0" applyFont="1" applyAlignment="1">
      <alignment wrapText="1"/>
    </xf>
    <xf numFmtId="0" fontId="28" fillId="0" borderId="13" xfId="0" applyFont="1" applyBorder="1"/>
    <xf numFmtId="0" fontId="29" fillId="0" borderId="13" xfId="0" applyFont="1" applyBorder="1" applyAlignment="1">
      <alignment wrapText="1"/>
    </xf>
    <xf numFmtId="0" fontId="30" fillId="0" borderId="13" xfId="0" applyFont="1" applyBorder="1" applyAlignment="1">
      <alignment horizontal="center" wrapText="1"/>
    </xf>
    <xf numFmtId="168" fontId="30" fillId="0" borderId="13" xfId="0" applyNumberFormat="1" applyFont="1" applyBorder="1" applyAlignment="1">
      <alignment horizontal="right" wrapText="1"/>
    </xf>
    <xf numFmtId="169" fontId="30" fillId="0" borderId="13" xfId="0" applyNumberFormat="1" applyFont="1" applyBorder="1" applyAlignment="1">
      <alignment horizontal="right" wrapText="1"/>
    </xf>
    <xf numFmtId="4" fontId="30" fillId="0" borderId="13" xfId="0" applyNumberFormat="1" applyFont="1" applyBorder="1" applyAlignment="1">
      <alignment wrapText="1"/>
    </xf>
    <xf numFmtId="0" fontId="29" fillId="0" borderId="0" xfId="0" applyFont="1" applyAlignment="1">
      <alignment wrapText="1"/>
    </xf>
    <xf numFmtId="168" fontId="30" fillId="0" borderId="13" xfId="0" applyNumberFormat="1" applyFont="1" applyBorder="1" applyAlignment="1">
      <alignment wrapText="1"/>
    </xf>
    <xf numFmtId="0" fontId="28" fillId="0" borderId="13" xfId="0" applyFont="1" applyBorder="1" applyAlignment="1"/>
    <xf numFmtId="0" fontId="31" fillId="0" borderId="13" xfId="0" applyFont="1" applyBorder="1" applyAlignment="1">
      <alignment horizontal="center"/>
    </xf>
    <xf numFmtId="0" fontId="30" fillId="0" borderId="13" xfId="0" applyFont="1" applyBorder="1" applyAlignment="1">
      <alignment wrapText="1"/>
    </xf>
    <xf numFmtId="49" fontId="30" fillId="0" borderId="0" xfId="0" applyNumberFormat="1" applyFont="1" applyAlignment="1">
      <alignment horizontal="center" vertical="top" wrapText="1"/>
    </xf>
    <xf numFmtId="170" fontId="30" fillId="0" borderId="13" xfId="0" applyNumberFormat="1" applyFont="1" applyBorder="1" applyAlignment="1">
      <alignment horizontal="right" wrapText="1"/>
    </xf>
    <xf numFmtId="0" fontId="30" fillId="0" borderId="13" xfId="0" applyFont="1" applyBorder="1" applyAlignment="1">
      <alignment horizontal="center" vertical="center" wrapText="1"/>
    </xf>
    <xf numFmtId="164" fontId="33" fillId="0" borderId="1" xfId="0" applyNumberFormat="1" applyFont="1" applyBorder="1" applyAlignment="1">
      <alignment vertical="center" wrapText="1"/>
    </xf>
    <xf numFmtId="164" fontId="33" fillId="0" borderId="1" xfId="0" applyNumberFormat="1" applyFont="1" applyFill="1" applyBorder="1" applyAlignment="1">
      <alignment vertical="center" wrapText="1"/>
    </xf>
    <xf numFmtId="4" fontId="33" fillId="6" borderId="1" xfId="0" applyNumberFormat="1" applyFont="1" applyFill="1" applyBorder="1" applyAlignment="1">
      <alignment horizontal="center" wrapText="1"/>
    </xf>
    <xf numFmtId="4" fontId="33" fillId="0" borderId="1" xfId="0" applyNumberFormat="1" applyFont="1" applyBorder="1" applyAlignment="1">
      <alignment horizontal="center" wrapText="1"/>
    </xf>
    <xf numFmtId="165" fontId="3" fillId="0" borderId="10" xfId="0" applyNumberFormat="1" applyFont="1" applyBorder="1" applyAlignment="1">
      <alignment wrapText="1"/>
    </xf>
    <xf numFmtId="165" fontId="5" fillId="0" borderId="0" xfId="0" applyNumberFormat="1" applyFont="1"/>
    <xf numFmtId="4" fontId="3" fillId="0" borderId="0" xfId="0" applyNumberFormat="1" applyFont="1" applyAlignment="1"/>
    <xf numFmtId="4" fontId="5" fillId="0" borderId="0" xfId="0" applyNumberFormat="1" applyFont="1" applyAlignment="1">
      <alignment wrapText="1"/>
    </xf>
    <xf numFmtId="4" fontId="5" fillId="0" borderId="1" xfId="0" applyNumberFormat="1" applyFont="1" applyBorder="1" applyAlignment="1">
      <alignment wrapText="1"/>
    </xf>
    <xf numFmtId="2" fontId="5" fillId="0" borderId="1" xfId="0" applyNumberFormat="1" applyFont="1" applyBorder="1"/>
    <xf numFmtId="4" fontId="18" fillId="0" borderId="1" xfId="0" applyNumberFormat="1" applyFont="1" applyBorder="1" applyAlignment="1">
      <alignment wrapText="1"/>
    </xf>
    <xf numFmtId="164" fontId="36" fillId="6" borderId="16" xfId="0" applyNumberFormat="1" applyFont="1" applyFill="1" applyBorder="1" applyAlignment="1" applyProtection="1">
      <alignment horizontal="center" vertical="center" wrapText="1"/>
    </xf>
    <xf numFmtId="171" fontId="34" fillId="6" borderId="16" xfId="0" applyNumberFormat="1" applyFont="1" applyFill="1" applyBorder="1" applyAlignment="1" applyProtection="1">
      <alignment horizontal="center" vertical="center" wrapText="1"/>
    </xf>
    <xf numFmtId="171" fontId="35" fillId="6" borderId="3" xfId="0" applyNumberFormat="1" applyFont="1" applyFill="1" applyBorder="1" applyAlignment="1">
      <alignment horizontal="center" vertical="center" wrapText="1"/>
    </xf>
    <xf numFmtId="171" fontId="3" fillId="0" borderId="1" xfId="0" applyNumberFormat="1" applyFont="1" applyBorder="1" applyAlignment="1">
      <alignment wrapText="1"/>
    </xf>
    <xf numFmtId="171" fontId="34" fillId="6" borderId="1" xfId="0" applyNumberFormat="1" applyFont="1" applyFill="1" applyBorder="1" applyAlignment="1" applyProtection="1">
      <alignment horizontal="center" vertical="center" wrapText="1"/>
    </xf>
    <xf numFmtId="171" fontId="3" fillId="6" borderId="1" xfId="0" applyNumberFormat="1" applyFont="1" applyFill="1" applyBorder="1" applyAlignment="1">
      <alignment horizontal="center" vertical="center" wrapText="1"/>
    </xf>
    <xf numFmtId="171" fontId="36" fillId="6" borderId="16" xfId="0" applyNumberFormat="1" applyFont="1" applyFill="1" applyBorder="1" applyAlignment="1" applyProtection="1">
      <alignment horizontal="center" vertical="center" wrapText="1"/>
    </xf>
    <xf numFmtId="171" fontId="36" fillId="6" borderId="1" xfId="0" applyNumberFormat="1" applyFont="1" applyFill="1" applyBorder="1" applyAlignment="1" applyProtection="1">
      <alignment horizontal="center" vertical="center" wrapText="1"/>
    </xf>
    <xf numFmtId="164" fontId="36" fillId="6" borderId="1" xfId="0" applyNumberFormat="1" applyFont="1" applyFill="1" applyBorder="1" applyAlignment="1" applyProtection="1">
      <alignment horizontal="center" vertical="center" wrapText="1"/>
    </xf>
    <xf numFmtId="164" fontId="3" fillId="6" borderId="1" xfId="0" applyNumberFormat="1" applyFont="1" applyFill="1" applyBorder="1" applyAlignment="1">
      <alignment horizontal="center" vertical="center" wrapText="1"/>
    </xf>
    <xf numFmtId="0" fontId="0" fillId="0" borderId="0" xfId="0" applyAlignment="1">
      <alignment horizontal="left" vertical="top"/>
    </xf>
    <xf numFmtId="164" fontId="5" fillId="0" borderId="1" xfId="0" applyNumberFormat="1" applyFont="1" applyFill="1" applyBorder="1" applyAlignment="1">
      <alignment wrapText="1"/>
    </xf>
    <xf numFmtId="4" fontId="5" fillId="0" borderId="2" xfId="0" applyNumberFormat="1" applyFont="1" applyBorder="1"/>
    <xf numFmtId="0" fontId="3" fillId="0" borderId="6" xfId="0" applyFont="1" applyFill="1" applyBorder="1" applyAlignment="1">
      <alignment wrapText="1"/>
    </xf>
    <xf numFmtId="4" fontId="3" fillId="0" borderId="3" xfId="0" applyNumberFormat="1" applyFont="1" applyFill="1" applyBorder="1" applyAlignment="1">
      <alignment horizontal="right" wrapText="1"/>
    </xf>
    <xf numFmtId="164" fontId="5" fillId="0" borderId="1" xfId="0" applyNumberFormat="1" applyFont="1" applyBorder="1"/>
    <xf numFmtId="164" fontId="37" fillId="0" borderId="1" xfId="0" applyNumberFormat="1" applyFont="1" applyBorder="1" applyAlignment="1">
      <alignment vertical="center" wrapText="1"/>
    </xf>
    <xf numFmtId="164" fontId="37" fillId="0" borderId="1" xfId="0" applyNumberFormat="1" applyFont="1" applyFill="1" applyBorder="1" applyAlignment="1">
      <alignment vertical="center" wrapText="1"/>
    </xf>
    <xf numFmtId="164" fontId="37" fillId="0" borderId="1" xfId="0" applyNumberFormat="1" applyFont="1" applyBorder="1" applyAlignment="1">
      <alignment horizontal="center" vertical="center" wrapText="1"/>
    </xf>
    <xf numFmtId="164" fontId="37" fillId="0" borderId="1" xfId="0" applyNumberFormat="1" applyFont="1" applyFill="1" applyBorder="1" applyAlignment="1">
      <alignment horizontal="center" vertical="center" wrapText="1"/>
    </xf>
    <xf numFmtId="164" fontId="3" fillId="0" borderId="1" xfId="0" applyNumberFormat="1" applyFont="1" applyBorder="1" applyAlignment="1">
      <alignment horizontal="center" vertical="center"/>
    </xf>
    <xf numFmtId="0" fontId="2" fillId="0" borderId="0" xfId="0" applyFont="1" applyAlignment="1">
      <alignment horizontal="left"/>
    </xf>
    <xf numFmtId="0" fontId="2" fillId="0" borderId="0" xfId="0" applyFont="1" applyAlignment="1">
      <alignment horizontal="left" vertical="center" wrapText="1"/>
    </xf>
    <xf numFmtId="0" fontId="3" fillId="0" borderId="8" xfId="0" applyFont="1" applyBorder="1" applyAlignment="1">
      <alignment horizontal="left"/>
    </xf>
    <xf numFmtId="0" fontId="0" fillId="0" borderId="0" xfId="0" applyAlignment="1">
      <alignment horizontal="left" vertical="top"/>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0" fontId="2" fillId="0" borderId="9" xfId="0" applyFont="1" applyBorder="1" applyAlignment="1">
      <alignment vertical="center" wrapText="1"/>
    </xf>
    <xf numFmtId="165" fontId="2" fillId="0" borderId="0" xfId="0" applyNumberFormat="1" applyFont="1" applyAlignment="1">
      <alignment wrapText="1"/>
    </xf>
    <xf numFmtId="4" fontId="38" fillId="0" borderId="16" xfId="0" applyNumberFormat="1" applyFont="1" applyFill="1" applyBorder="1" applyAlignment="1" applyProtection="1">
      <alignment vertical="center" wrapText="1"/>
    </xf>
    <xf numFmtId="4" fontId="9" fillId="0" borderId="1" xfId="0" applyNumberFormat="1" applyFont="1" applyFill="1" applyBorder="1" applyAlignment="1">
      <alignment vertical="center" wrapText="1"/>
    </xf>
    <xf numFmtId="4" fontId="3" fillId="0" borderId="5" xfId="0" applyNumberFormat="1" applyFont="1" applyBorder="1"/>
    <xf numFmtId="4" fontId="38" fillId="0" borderId="0" xfId="0" applyNumberFormat="1" applyFont="1" applyFill="1" applyBorder="1" applyAlignment="1" applyProtection="1">
      <alignment vertical="center" wrapText="1"/>
    </xf>
    <xf numFmtId="0" fontId="2" fillId="6" borderId="9" xfId="0" applyFont="1" applyFill="1" applyBorder="1"/>
    <xf numFmtId="0" fontId="2" fillId="6" borderId="1" xfId="0" applyFont="1" applyFill="1" applyBorder="1"/>
    <xf numFmtId="0" fontId="2" fillId="6" borderId="8" xfId="0" applyFont="1" applyFill="1" applyBorder="1" applyAlignment="1">
      <alignment wrapText="1"/>
    </xf>
    <xf numFmtId="4" fontId="2" fillId="6" borderId="1" xfId="0" applyNumberFormat="1" applyFont="1" applyFill="1" applyBorder="1"/>
    <xf numFmtId="4" fontId="2" fillId="2" borderId="1" xfId="0" applyNumberFormat="1" applyFont="1" applyFill="1" applyBorder="1"/>
    <xf numFmtId="4" fontId="3" fillId="0" borderId="11" xfId="0" applyNumberFormat="1" applyFont="1" applyBorder="1" applyAlignment="1">
      <alignment horizontal="left" wrapText="1"/>
    </xf>
    <xf numFmtId="164" fontId="2" fillId="0" borderId="1" xfId="0" applyNumberFormat="1" applyFont="1" applyBorder="1"/>
    <xf numFmtId="4" fontId="3" fillId="0" borderId="1" xfId="0" applyNumberFormat="1" applyFont="1" applyBorder="1" applyAlignment="1">
      <alignment horizontal="left" wrapText="1"/>
    </xf>
    <xf numFmtId="4" fontId="2" fillId="0" borderId="1" xfId="0" applyNumberFormat="1" applyFont="1" applyBorder="1" applyAlignment="1">
      <alignment horizontal="left" wrapText="1"/>
    </xf>
    <xf numFmtId="4" fontId="3" fillId="0" borderId="1" xfId="0" applyNumberFormat="1" applyFont="1" applyBorder="1" applyAlignment="1">
      <alignment horizontal="left"/>
    </xf>
    <xf numFmtId="4" fontId="33" fillId="0" borderId="1" xfId="0" applyNumberFormat="1" applyFont="1" applyBorder="1"/>
    <xf numFmtId="0" fontId="9" fillId="0" borderId="1" xfId="0" applyFont="1" applyBorder="1"/>
    <xf numFmtId="0" fontId="33" fillId="0" borderId="1" xfId="0" applyFont="1" applyBorder="1"/>
    <xf numFmtId="0" fontId="33" fillId="0" borderId="1" xfId="0" applyFont="1" applyBorder="1" applyAlignment="1">
      <alignment wrapText="1"/>
    </xf>
    <xf numFmtId="3" fontId="33" fillId="0" borderId="1" xfId="0" applyNumberFormat="1" applyFont="1" applyBorder="1"/>
    <xf numFmtId="3" fontId="3" fillId="0" borderId="1" xfId="0" applyNumberFormat="1" applyFont="1" applyFill="1" applyBorder="1"/>
    <xf numFmtId="4" fontId="2" fillId="0" borderId="3" xfId="0" applyNumberFormat="1" applyFont="1" applyBorder="1"/>
    <xf numFmtId="4" fontId="3" fillId="0" borderId="0" xfId="0" applyNumberFormat="1" applyFont="1" applyAlignment="1">
      <alignment horizontal="center"/>
    </xf>
    <xf numFmtId="164" fontId="0" fillId="0" borderId="1" xfId="0" applyNumberFormat="1" applyFont="1" applyBorder="1" applyAlignment="1">
      <alignment horizontal="center" vertical="center" wrapText="1"/>
    </xf>
    <xf numFmtId="4" fontId="0" fillId="0" borderId="1" xfId="0" applyNumberFormat="1" applyFont="1" applyBorder="1" applyAlignment="1">
      <alignment wrapText="1"/>
    </xf>
    <xf numFmtId="4" fontId="0" fillId="0" borderId="1" xfId="0" applyNumberFormat="1" applyFont="1" applyBorder="1" applyAlignment="1">
      <alignment horizontal="right" vertical="center" wrapText="1"/>
    </xf>
    <xf numFmtId="0" fontId="0" fillId="0" borderId="1" xfId="0" applyFont="1" applyFill="1" applyBorder="1" applyAlignment="1">
      <alignment wrapText="1"/>
    </xf>
    <xf numFmtId="4" fontId="0" fillId="0" borderId="1" xfId="0" applyNumberFormat="1" applyFont="1" applyBorder="1"/>
    <xf numFmtId="4" fontId="5" fillId="2" borderId="1" xfId="0" applyNumberFormat="1" applyFont="1" applyFill="1" applyBorder="1"/>
    <xf numFmtId="4" fontId="5" fillId="0" borderId="1" xfId="0" applyNumberFormat="1" applyFont="1" applyBorder="1"/>
    <xf numFmtId="0" fontId="3" fillId="0" borderId="0" xfId="0" applyFont="1" applyAlignment="1"/>
    <xf numFmtId="0" fontId="3" fillId="0" borderId="0" xfId="0" applyFont="1"/>
    <xf numFmtId="0" fontId="0" fillId="6" borderId="0" xfId="0" applyFill="1"/>
    <xf numFmtId="0" fontId="0" fillId="7" borderId="1" xfId="0" applyFill="1" applyBorder="1"/>
    <xf numFmtId="0" fontId="3" fillId="7" borderId="1" xfId="0" applyFont="1" applyFill="1" applyBorder="1" applyAlignment="1">
      <alignment wrapText="1"/>
    </xf>
    <xf numFmtId="0" fontId="2" fillId="7" borderId="1" xfId="0" applyFont="1" applyFill="1" applyBorder="1" applyAlignment="1">
      <alignment wrapText="1"/>
    </xf>
    <xf numFmtId="4" fontId="2" fillId="7" borderId="1" xfId="0" applyNumberFormat="1" applyFont="1" applyFill="1" applyBorder="1"/>
    <xf numFmtId="0" fontId="2" fillId="0" borderId="1" xfId="0" applyFont="1" applyBorder="1" applyAlignment="1">
      <alignment horizontal="left" vertical="top" wrapText="1"/>
    </xf>
    <xf numFmtId="0" fontId="7" fillId="0" borderId="11" xfId="0" applyFont="1" applyBorder="1" applyAlignment="1">
      <alignment horizontal="right" wrapText="1"/>
    </xf>
    <xf numFmtId="0" fontId="7" fillId="0" borderId="11" xfId="0" applyFont="1" applyBorder="1" applyAlignment="1">
      <alignment horizontal="right"/>
    </xf>
    <xf numFmtId="0" fontId="0" fillId="0" borderId="0" xfId="0" applyAlignment="1">
      <alignment horizontal="left" wrapText="1"/>
    </xf>
    <xf numFmtId="0" fontId="2" fillId="0" borderId="0" xfId="0" applyFont="1" applyAlignment="1">
      <alignment horizontal="left"/>
    </xf>
    <xf numFmtId="0" fontId="2" fillId="0" borderId="0" xfId="0" applyFont="1" applyAlignment="1">
      <alignment horizontal="left" vertical="center" wrapText="1"/>
    </xf>
    <xf numFmtId="0" fontId="0" fillId="0" borderId="0" xfId="0" applyFill="1" applyAlignment="1">
      <alignment horizontal="left" wrapText="1"/>
    </xf>
    <xf numFmtId="0" fontId="2" fillId="0" borderId="0" xfId="0" applyFont="1" applyAlignment="1">
      <alignment horizontal="left" wrapText="1"/>
    </xf>
    <xf numFmtId="0" fontId="2" fillId="0" borderId="0" xfId="0" applyFont="1" applyAlignment="1">
      <alignment horizontal="center"/>
    </xf>
    <xf numFmtId="164" fontId="3"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6" fontId="2" fillId="0" borderId="1" xfId="0" applyNumberFormat="1" applyFont="1" applyBorder="1" applyAlignment="1">
      <alignment horizontal="right" vertical="center" wrapText="1"/>
    </xf>
    <xf numFmtId="0" fontId="2" fillId="3" borderId="1" xfId="0" applyFont="1" applyFill="1" applyBorder="1" applyAlignment="1">
      <alignment horizontal="left" vertical="top" wrapText="1"/>
    </xf>
    <xf numFmtId="4" fontId="2" fillId="0" borderId="1" xfId="0" applyNumberFormat="1" applyFont="1" applyBorder="1" applyAlignment="1">
      <alignment horizontal="center" vertical="center" wrapText="1"/>
    </xf>
    <xf numFmtId="4" fontId="39" fillId="0" borderId="18" xfId="0" applyNumberFormat="1" applyFont="1" applyBorder="1" applyAlignment="1" applyProtection="1">
      <alignment horizontal="right" wrapText="1"/>
    </xf>
    <xf numFmtId="0" fontId="2" fillId="3" borderId="1" xfId="0" applyFont="1" applyFill="1" applyBorder="1" applyAlignment="1">
      <alignment wrapText="1"/>
    </xf>
    <xf numFmtId="0" fontId="0" fillId="0" borderId="1" xfId="0" applyFont="1" applyBorder="1" applyAlignment="1">
      <alignment horizontal="center" vertical="top"/>
    </xf>
    <xf numFmtId="2" fontId="0" fillId="0" borderId="1" xfId="0" applyNumberFormat="1" applyFont="1" applyBorder="1" applyAlignment="1">
      <alignment horizontal="center" vertical="top"/>
    </xf>
    <xf numFmtId="2" fontId="2" fillId="0" borderId="1" xfId="0" applyNumberFormat="1" applyFont="1" applyBorder="1" applyAlignment="1">
      <alignment horizontal="left" vertical="center" wrapText="1"/>
    </xf>
    <xf numFmtId="2" fontId="2" fillId="0" borderId="1" xfId="0" applyNumberFormat="1" applyFont="1" applyBorder="1" applyAlignment="1">
      <alignment horizontal="right" vertical="center" wrapText="1"/>
    </xf>
    <xf numFmtId="0" fontId="0" fillId="0" borderId="1" xfId="0" applyNumberFormat="1" applyFont="1" applyBorder="1" applyAlignment="1">
      <alignment horizontal="center" vertical="top"/>
    </xf>
    <xf numFmtId="164" fontId="2"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165" fontId="0" fillId="0" borderId="1" xfId="0" applyNumberFormat="1" applyFont="1" applyBorder="1" applyAlignment="1">
      <alignment horizontal="right" vertical="center" wrapText="1"/>
    </xf>
    <xf numFmtId="165" fontId="5" fillId="0" borderId="1" xfId="1" applyFont="1" applyBorder="1" applyAlignment="1">
      <alignment horizontal="right" vertical="center" wrapText="1"/>
    </xf>
    <xf numFmtId="165" fontId="1" fillId="0" borderId="1" xfId="1" applyFont="1" applyBorder="1" applyAlignment="1">
      <alignment horizontal="right" vertical="center" wrapText="1"/>
    </xf>
    <xf numFmtId="166" fontId="1" fillId="0" borderId="1" xfId="1" applyNumberFormat="1" applyFont="1" applyBorder="1" applyAlignment="1">
      <alignment horizontal="right" vertical="center" wrapText="1"/>
    </xf>
    <xf numFmtId="166" fontId="3" fillId="0" borderId="1" xfId="0" applyNumberFormat="1" applyFont="1" applyBorder="1" applyAlignment="1">
      <alignment horizontal="right" vertical="center" wrapText="1"/>
    </xf>
    <xf numFmtId="166" fontId="2" fillId="0" borderId="10" xfId="0" applyNumberFormat="1" applyFont="1" applyBorder="1" applyAlignment="1"/>
    <xf numFmtId="164" fontId="2" fillId="0" borderId="1" xfId="1" applyNumberFormat="1" applyFont="1" applyBorder="1" applyAlignment="1">
      <alignment horizontal="right" vertical="top" wrapText="1"/>
    </xf>
    <xf numFmtId="164" fontId="2" fillId="0" borderId="1" xfId="0" applyNumberFormat="1" applyFont="1" applyBorder="1" applyAlignment="1">
      <alignment vertical="top" wrapText="1"/>
    </xf>
    <xf numFmtId="164" fontId="2" fillId="0" borderId="1" xfId="1" applyNumberFormat="1" applyFont="1" applyBorder="1" applyAlignment="1">
      <alignment horizontal="right" vertical="center" wrapText="1"/>
    </xf>
    <xf numFmtId="165" fontId="5" fillId="0" borderId="0" xfId="0" applyNumberFormat="1" applyFont="1" applyAlignment="1">
      <alignment horizontal="center" vertical="center" wrapText="1"/>
    </xf>
    <xf numFmtId="164" fontId="1" fillId="0" borderId="1" xfId="1" applyNumberFormat="1" applyFont="1" applyBorder="1" applyAlignment="1">
      <alignment horizontal="right" vertical="center" wrapText="1"/>
    </xf>
    <xf numFmtId="164" fontId="5" fillId="0" borderId="1" xfId="1" applyNumberFormat="1" applyFont="1" applyBorder="1" applyAlignment="1">
      <alignment horizontal="right" vertical="center" wrapText="1"/>
    </xf>
    <xf numFmtId="0" fontId="3" fillId="0" borderId="2" xfId="0" applyFont="1" applyBorder="1" applyAlignment="1">
      <alignment horizontal="left" vertical="center" wrapText="1"/>
    </xf>
    <xf numFmtId="164" fontId="2" fillId="0" borderId="2" xfId="1" applyNumberFormat="1" applyFont="1" applyBorder="1" applyAlignment="1">
      <alignment horizontal="right" vertical="top" wrapText="1"/>
    </xf>
    <xf numFmtId="164" fontId="3" fillId="0" borderId="1" xfId="1" applyNumberFormat="1" applyFont="1" applyBorder="1" applyAlignment="1">
      <alignment horizontal="right" vertical="center" wrapText="1"/>
    </xf>
    <xf numFmtId="165" fontId="5" fillId="0" borderId="2" xfId="1" applyFont="1" applyBorder="1" applyAlignment="1">
      <alignment horizontal="right" vertical="top" wrapText="1"/>
    </xf>
    <xf numFmtId="164" fontId="3" fillId="0" borderId="1" xfId="1" applyNumberFormat="1" applyFont="1" applyBorder="1" applyAlignment="1">
      <alignment horizontal="right" vertical="top" wrapText="1"/>
    </xf>
    <xf numFmtId="165" fontId="5" fillId="0" borderId="1" xfId="1" applyFont="1" applyBorder="1" applyAlignment="1">
      <alignment horizontal="right" wrapText="1"/>
    </xf>
    <xf numFmtId="0" fontId="7" fillId="0" borderId="1" xfId="0" applyFont="1" applyBorder="1" applyAlignment="1">
      <alignment horizontal="right" wrapText="1"/>
    </xf>
    <xf numFmtId="165" fontId="3" fillId="0" borderId="0" xfId="0" applyNumberFormat="1" applyFont="1" applyAlignment="1">
      <alignment horizontal="center"/>
    </xf>
    <xf numFmtId="0" fontId="2" fillId="0" borderId="0" xfId="0" applyFont="1" applyAlignment="1">
      <alignment horizontal="center" wrapText="1"/>
    </xf>
    <xf numFmtId="0" fontId="3" fillId="0" borderId="0" xfId="0" applyFont="1" applyAlignment="1">
      <alignment horizontal="left" vertical="top"/>
    </xf>
    <xf numFmtId="0" fontId="3" fillId="0" borderId="0" xfId="0" applyFont="1" applyAlignment="1">
      <alignment horizontal="left" vertical="top" wrapText="1"/>
    </xf>
    <xf numFmtId="164" fontId="3" fillId="0" borderId="0" xfId="0" applyNumberFormat="1" applyFont="1" applyAlignment="1"/>
    <xf numFmtId="164" fontId="1" fillId="0" borderId="1" xfId="1" applyNumberFormat="1" applyFont="1" applyBorder="1" applyAlignment="1">
      <alignment horizontal="right" vertical="top" wrapText="1"/>
    </xf>
    <xf numFmtId="164" fontId="0" fillId="0" borderId="1" xfId="0" applyNumberFormat="1" applyFont="1" applyBorder="1"/>
    <xf numFmtId="164" fontId="5" fillId="0" borderId="0" xfId="0" applyNumberFormat="1" applyFont="1" applyAlignment="1"/>
    <xf numFmtId="0" fontId="5" fillId="0" borderId="2" xfId="0" applyFont="1" applyBorder="1" applyAlignment="1">
      <alignment horizontal="center" vertical="top"/>
    </xf>
    <xf numFmtId="0" fontId="3" fillId="0" borderId="2" xfId="0" applyFont="1" applyBorder="1" applyAlignment="1">
      <alignment horizontal="center" vertical="center" wrapText="1"/>
    </xf>
    <xf numFmtId="164" fontId="9" fillId="0" borderId="1" xfId="0" applyNumberFormat="1" applyFont="1" applyBorder="1" applyAlignment="1">
      <alignment horizontal="center" vertical="center" wrapText="1"/>
    </xf>
    <xf numFmtId="0" fontId="9" fillId="0" borderId="1" xfId="0" applyFont="1" applyBorder="1" applyAlignment="1">
      <alignment horizontal="left" vertical="top" wrapText="1"/>
    </xf>
    <xf numFmtId="165" fontId="3" fillId="0" borderId="0" xfId="0" applyNumberFormat="1" applyFont="1" applyAlignment="1"/>
    <xf numFmtId="165" fontId="1" fillId="0" borderId="1" xfId="1" applyFont="1" applyBorder="1" applyAlignment="1">
      <alignment horizontal="right" wrapText="1"/>
    </xf>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center"/>
    </xf>
    <xf numFmtId="0" fontId="0" fillId="0" borderId="0" xfId="0" applyBorder="1"/>
    <xf numFmtId="0" fontId="7" fillId="0" borderId="0" xfId="0" applyFont="1" applyBorder="1" applyAlignment="1">
      <alignment horizontal="right" wrapText="1"/>
    </xf>
    <xf numFmtId="0" fontId="7" fillId="0" borderId="0" xfId="0" applyFont="1" applyBorder="1"/>
    <xf numFmtId="2" fontId="7" fillId="0" borderId="0" xfId="0" applyNumberFormat="1" applyFont="1" applyBorder="1"/>
    <xf numFmtId="0" fontId="0" fillId="0" borderId="0" xfId="0" applyAlignment="1">
      <alignment horizontal="left" vertical="top" wrapText="1"/>
    </xf>
    <xf numFmtId="49" fontId="17" fillId="0" borderId="0" xfId="0" applyNumberFormat="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10" xfId="0" applyFont="1" applyBorder="1" applyAlignment="1">
      <alignment horizontal="left" wrapText="1"/>
    </xf>
    <xf numFmtId="0" fontId="7" fillId="0" borderId="11" xfId="0" applyFont="1" applyBorder="1" applyAlignment="1">
      <alignment horizontal="right" wrapText="1"/>
    </xf>
    <xf numFmtId="0" fontId="7" fillId="0" borderId="9" xfId="0" applyFont="1" applyBorder="1" applyAlignment="1">
      <alignment horizontal="right" wrapText="1"/>
    </xf>
    <xf numFmtId="49" fontId="17" fillId="0" borderId="12" xfId="0" applyNumberFormat="1" applyFont="1" applyBorder="1" applyAlignment="1">
      <alignment horizontal="left" vertical="top" wrapText="1"/>
    </xf>
    <xf numFmtId="0" fontId="0" fillId="0" borderId="0" xfId="0" applyFont="1" applyAlignment="1">
      <alignment horizontal="left" wrapText="1"/>
    </xf>
    <xf numFmtId="0" fontId="4" fillId="0" borderId="0" xfId="0" applyFont="1" applyAlignment="1">
      <alignment horizontal="center" vertical="center" wrapText="1"/>
    </xf>
    <xf numFmtId="0" fontId="3" fillId="0" borderId="0" xfId="0" applyFont="1" applyAlignment="1">
      <alignment horizontal="center"/>
    </xf>
    <xf numFmtId="0" fontId="7" fillId="0" borderId="11" xfId="0" applyFont="1" applyBorder="1" applyAlignment="1">
      <alignment horizontal="right"/>
    </xf>
    <xf numFmtId="0" fontId="0" fillId="0" borderId="0" xfId="0" applyAlignment="1">
      <alignment horizontal="left" wrapText="1"/>
    </xf>
    <xf numFmtId="0" fontId="15" fillId="0" borderId="0" xfId="0" applyFont="1" applyAlignment="1">
      <alignment horizontal="left" vertical="top" wrapText="1"/>
    </xf>
    <xf numFmtId="49" fontId="15" fillId="0" borderId="0" xfId="2" applyNumberFormat="1" applyFont="1" applyAlignment="1">
      <alignment horizontal="center" vertical="center" wrapText="1"/>
    </xf>
    <xf numFmtId="0" fontId="17" fillId="0" borderId="10" xfId="2" applyFont="1" applyBorder="1" applyAlignment="1">
      <alignment horizontal="left" vertical="center" wrapText="1"/>
    </xf>
    <xf numFmtId="0" fontId="3" fillId="0" borderId="0" xfId="0" applyFont="1" applyAlignment="1">
      <alignment horizontal="center" vertical="center"/>
    </xf>
    <xf numFmtId="0" fontId="0" fillId="0" borderId="12" xfId="0" applyFill="1" applyBorder="1" applyAlignment="1">
      <alignment horizontal="left" wrapText="1"/>
    </xf>
    <xf numFmtId="0" fontId="2" fillId="0" borderId="0" xfId="0" applyFont="1" applyAlignment="1">
      <alignment horizontal="left"/>
    </xf>
    <xf numFmtId="0" fontId="2" fillId="0" borderId="0" xfId="0" applyFont="1" applyAlignment="1">
      <alignment horizontal="left" vertical="center" wrapText="1"/>
    </xf>
    <xf numFmtId="0" fontId="7" fillId="0" borderId="8"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wrapText="1"/>
    </xf>
    <xf numFmtId="0" fontId="7" fillId="0" borderId="8" xfId="0" applyFont="1" applyFill="1" applyBorder="1" applyAlignment="1">
      <alignment horizontal="center" wrapText="1"/>
    </xf>
    <xf numFmtId="0" fontId="7" fillId="0" borderId="11" xfId="0" applyFont="1" applyFill="1" applyBorder="1" applyAlignment="1">
      <alignment horizontal="center" wrapText="1"/>
    </xf>
    <xf numFmtId="0" fontId="7" fillId="0" borderId="9" xfId="0" applyFont="1" applyFill="1" applyBorder="1" applyAlignment="1">
      <alignment horizontal="center" wrapText="1"/>
    </xf>
    <xf numFmtId="0" fontId="2" fillId="0" borderId="4" xfId="0" applyFont="1" applyBorder="1" applyAlignment="1">
      <alignment horizontal="left" vertical="top" wrapText="1"/>
    </xf>
    <xf numFmtId="0" fontId="2" fillId="0" borderId="12" xfId="0" applyFont="1" applyBorder="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applyBorder="1" applyAlignment="1">
      <alignment horizontal="left" vertical="top" wrapText="1"/>
    </xf>
    <xf numFmtId="0" fontId="2" fillId="0" borderId="15"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0" xfId="0" applyFont="1" applyAlignment="1">
      <alignment horizontal="left" vertical="top" wrapText="1"/>
    </xf>
    <xf numFmtId="0" fontId="7" fillId="4" borderId="1" xfId="0" applyFont="1" applyFill="1" applyBorder="1" applyAlignment="1">
      <alignment horizontal="left"/>
    </xf>
    <xf numFmtId="0" fontId="24" fillId="0" borderId="0" xfId="0" applyFont="1" applyAlignment="1">
      <alignment horizontal="left" vertical="top" wrapText="1"/>
    </xf>
    <xf numFmtId="0" fontId="7" fillId="0" borderId="1" xfId="0" applyFont="1" applyBorder="1" applyAlignment="1">
      <alignment horizontal="center" wrapText="1"/>
    </xf>
    <xf numFmtId="0" fontId="7" fillId="0" borderId="1" xfId="0" applyFont="1" applyFill="1" applyBorder="1" applyAlignment="1">
      <alignment horizontal="center" wrapText="1"/>
    </xf>
    <xf numFmtId="0" fontId="0" fillId="0" borderId="12" xfId="0" applyBorder="1" applyAlignment="1">
      <alignment horizontal="left" wrapText="1"/>
    </xf>
    <xf numFmtId="0" fontId="0" fillId="0" borderId="4" xfId="0" applyFont="1" applyBorder="1" applyAlignment="1">
      <alignment horizontal="left" vertical="top" wrapText="1"/>
    </xf>
    <xf numFmtId="0" fontId="0" fillId="0" borderId="12" xfId="0" applyFont="1" applyBorder="1" applyAlignment="1">
      <alignment horizontal="left" vertical="top" wrapText="1"/>
    </xf>
    <xf numFmtId="0" fontId="0" fillId="0" borderId="5" xfId="0" applyFont="1" applyBorder="1" applyAlignment="1">
      <alignment horizontal="left" vertical="top" wrapText="1"/>
    </xf>
    <xf numFmtId="0" fontId="0" fillId="0" borderId="14" xfId="0" applyFont="1" applyBorder="1" applyAlignment="1">
      <alignment horizontal="left" vertical="top" wrapText="1"/>
    </xf>
    <xf numFmtId="0" fontId="0" fillId="0" borderId="0" xfId="0" applyFont="1" applyBorder="1" applyAlignment="1">
      <alignment horizontal="left" vertical="top" wrapText="1"/>
    </xf>
    <xf numFmtId="0" fontId="0" fillId="0" borderId="15" xfId="0" applyFont="1" applyBorder="1" applyAlignment="1">
      <alignment horizontal="left" vertical="top" wrapText="1"/>
    </xf>
    <xf numFmtId="0" fontId="0" fillId="0" borderId="7"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5" fillId="0" borderId="4" xfId="0" applyFont="1" applyBorder="1" applyAlignment="1">
      <alignment horizontal="left" vertical="top" wrapText="1"/>
    </xf>
    <xf numFmtId="0" fontId="5" fillId="0" borderId="12" xfId="0" applyFont="1" applyBorder="1" applyAlignment="1">
      <alignment horizontal="left" vertical="top" wrapText="1"/>
    </xf>
    <xf numFmtId="0" fontId="5" fillId="0" borderId="5" xfId="0" applyFont="1" applyBorder="1" applyAlignment="1">
      <alignment horizontal="left" vertical="top" wrapText="1"/>
    </xf>
    <xf numFmtId="0" fontId="5" fillId="0" borderId="14" xfId="0" applyFont="1" applyBorder="1" applyAlignment="1">
      <alignment horizontal="left" vertical="top" wrapText="1"/>
    </xf>
    <xf numFmtId="0" fontId="5" fillId="0" borderId="0" xfId="0" applyFont="1" applyBorder="1" applyAlignment="1">
      <alignment horizontal="left" vertical="top"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6"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center" vertical="top" wrapText="1"/>
    </xf>
    <xf numFmtId="0" fontId="6" fillId="0" borderId="0" xfId="0" applyFont="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0" xfId="0" applyFill="1" applyAlignment="1">
      <alignment horizontal="left" wrapText="1"/>
    </xf>
    <xf numFmtId="0" fontId="2" fillId="0" borderId="8" xfId="0" applyFont="1" applyBorder="1" applyAlignment="1">
      <alignment horizontal="center" wrapText="1"/>
    </xf>
    <xf numFmtId="0" fontId="2" fillId="0" borderId="11" xfId="0" applyFont="1" applyBorder="1" applyAlignment="1">
      <alignment horizontal="center" wrapText="1"/>
    </xf>
    <xf numFmtId="0" fontId="2" fillId="0" borderId="9" xfId="0" applyFont="1" applyBorder="1" applyAlignment="1">
      <alignment horizontal="center" wrapText="1"/>
    </xf>
    <xf numFmtId="0" fontId="0" fillId="0" borderId="8" xfId="0" applyFont="1" applyFill="1" applyBorder="1" applyAlignment="1">
      <alignment horizontal="center" wrapText="1"/>
    </xf>
    <xf numFmtId="0" fontId="0" fillId="0" borderId="11" xfId="0" applyFont="1" applyFill="1" applyBorder="1" applyAlignment="1">
      <alignment horizontal="center" wrapText="1"/>
    </xf>
    <xf numFmtId="0" fontId="0" fillId="0" borderId="9" xfId="0" applyFont="1" applyFill="1" applyBorder="1" applyAlignment="1">
      <alignment horizontal="center" wrapText="1"/>
    </xf>
    <xf numFmtId="0" fontId="2" fillId="6" borderId="4"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15"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6" xfId="0" applyFont="1" applyFill="1" applyBorder="1" applyAlignment="1">
      <alignment horizontal="left" vertical="top" wrapText="1"/>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4" fontId="2" fillId="0" borderId="9" xfId="0" applyNumberFormat="1" applyFont="1" applyBorder="1" applyAlignment="1">
      <alignment horizontal="left" wrapText="1"/>
    </xf>
    <xf numFmtId="0" fontId="6" fillId="0" borderId="0" xfId="0" applyFont="1" applyBorder="1" applyAlignment="1">
      <alignment horizontal="left" vertical="center" wrapText="1"/>
    </xf>
    <xf numFmtId="0" fontId="6" fillId="0" borderId="10" xfId="0" applyFont="1" applyBorder="1" applyAlignment="1">
      <alignment horizontal="center" vertical="center" wrapText="1"/>
    </xf>
    <xf numFmtId="0" fontId="0" fillId="0" borderId="0" xfId="0" applyAlignment="1">
      <alignment horizontal="left"/>
    </xf>
    <xf numFmtId="0" fontId="3" fillId="0" borderId="0" xfId="0" applyFont="1" applyBorder="1" applyAlignment="1">
      <alignment horizontal="center" vertical="center"/>
    </xf>
    <xf numFmtId="0" fontId="2" fillId="0" borderId="0" xfId="0" applyFont="1" applyAlignment="1">
      <alignment horizontal="left"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2" fillId="6" borderId="0" xfId="0" applyFont="1" applyFill="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top" wrapText="1"/>
    </xf>
    <xf numFmtId="0" fontId="3" fillId="0" borderId="8" xfId="0" applyFont="1" applyBorder="1" applyAlignment="1">
      <alignment horizontal="left"/>
    </xf>
    <xf numFmtId="0" fontId="3" fillId="0" borderId="9" xfId="0" applyFont="1" applyBorder="1" applyAlignment="1">
      <alignment horizontal="left"/>
    </xf>
    <xf numFmtId="0" fontId="5" fillId="0" borderId="0" xfId="0" applyFont="1" applyAlignment="1">
      <alignment horizontal="center"/>
    </xf>
    <xf numFmtId="0" fontId="5" fillId="0" borderId="0" xfId="0" applyFont="1" applyAlignment="1">
      <alignment horizontal="center" wrapText="1"/>
    </xf>
    <xf numFmtId="0" fontId="0" fillId="0" borderId="2"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0" xfId="0" applyAlignment="1">
      <alignment horizontal="left" vertical="top"/>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0" fillId="0" borderId="0" xfId="0" applyFont="1" applyBorder="1" applyAlignment="1">
      <alignment horizontal="left" vertical="center"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12" fillId="0" borderId="0" xfId="0" applyFont="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3" fillId="0" borderId="1" xfId="0" applyFont="1" applyBorder="1" applyAlignment="1">
      <alignment horizontal="center" wrapText="1"/>
    </xf>
    <xf numFmtId="0" fontId="6" fillId="0" borderId="0" xfId="0" applyFont="1" applyBorder="1" applyAlignment="1">
      <alignment horizontal="left" vertical="top" wrapText="1"/>
    </xf>
    <xf numFmtId="0" fontId="3" fillId="0" borderId="8" xfId="0" applyFont="1" applyFill="1" applyBorder="1" applyAlignment="1">
      <alignment horizontal="left"/>
    </xf>
    <xf numFmtId="0" fontId="3" fillId="0" borderId="9" xfId="0" applyFont="1" applyFill="1" applyBorder="1" applyAlignment="1">
      <alignment horizontal="left"/>
    </xf>
    <xf numFmtId="0" fontId="3" fillId="0" borderId="0" xfId="0" applyFont="1" applyFill="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Alignment="1">
      <alignment horizontal="left" vertical="top" wrapText="1"/>
    </xf>
    <xf numFmtId="0" fontId="2" fillId="0" borderId="10" xfId="0" applyFont="1" applyBorder="1" applyAlignment="1">
      <alignment horizontal="center"/>
    </xf>
    <xf numFmtId="0" fontId="7" fillId="0" borderId="7" xfId="0" applyFont="1" applyFill="1" applyBorder="1" applyAlignment="1">
      <alignment horizontal="center" wrapText="1"/>
    </xf>
    <xf numFmtId="0" fontId="7" fillId="0" borderId="10" xfId="0" applyFont="1" applyFill="1" applyBorder="1" applyAlignment="1">
      <alignment horizontal="center"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decentralization.gov.ua/gromada/1726" TargetMode="External"/><Relationship Id="rId1" Type="http://schemas.openxmlformats.org/officeDocument/2006/relationships/hyperlink" Target="https://decentralization.gov.ua/gromada/172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2"/>
  <sheetViews>
    <sheetView topLeftCell="A10" zoomScaleNormal="100" workbookViewId="0">
      <selection activeCell="I12" sqref="I12"/>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83" customWidth="1"/>
    <col min="6" max="6" width="16.85546875" customWidth="1"/>
    <col min="7" max="7" width="16.28515625" customWidth="1"/>
    <col min="9" max="9" width="28.28515625" customWidth="1"/>
  </cols>
  <sheetData>
    <row r="1" spans="1:7" ht="15.75" x14ac:dyDescent="0.25">
      <c r="B1" s="1"/>
      <c r="C1" s="1"/>
      <c r="D1" s="1"/>
      <c r="E1" s="184"/>
      <c r="F1" s="1" t="s">
        <v>200</v>
      </c>
    </row>
    <row r="2" spans="1:7" ht="15.75" x14ac:dyDescent="0.25">
      <c r="B2" s="1"/>
      <c r="C2" s="1"/>
      <c r="D2" s="1"/>
      <c r="E2" s="184"/>
      <c r="F2" t="s">
        <v>198</v>
      </c>
      <c r="G2" s="1"/>
    </row>
    <row r="3" spans="1:7" ht="15.75" x14ac:dyDescent="0.25">
      <c r="B3" s="1"/>
      <c r="C3" s="1"/>
      <c r="D3" s="1"/>
      <c r="E3" s="184"/>
      <c r="F3" t="s">
        <v>245</v>
      </c>
      <c r="G3" s="1"/>
    </row>
    <row r="4" spans="1:7" ht="15.75" x14ac:dyDescent="0.25">
      <c r="A4" s="504" t="s">
        <v>142</v>
      </c>
      <c r="B4" s="504"/>
      <c r="C4" s="504"/>
      <c r="D4" s="504"/>
      <c r="E4" s="504"/>
      <c r="F4" s="504"/>
      <c r="G4" s="504"/>
    </row>
    <row r="5" spans="1:7" ht="22.5" customHeight="1" x14ac:dyDescent="0.25">
      <c r="A5" s="503" t="s">
        <v>244</v>
      </c>
      <c r="B5" s="503"/>
      <c r="C5" s="503"/>
      <c r="D5" s="503"/>
      <c r="E5" s="503"/>
      <c r="F5" s="503"/>
      <c r="G5" s="503"/>
    </row>
    <row r="6" spans="1:7" ht="249" customHeight="1" x14ac:dyDescent="0.25">
      <c r="A6" s="501" t="s">
        <v>125</v>
      </c>
      <c r="B6" s="501"/>
      <c r="C6" s="501"/>
      <c r="D6" s="501"/>
      <c r="E6" s="501"/>
      <c r="F6" s="501"/>
      <c r="G6" s="501"/>
    </row>
    <row r="7" spans="1:7" ht="15.75" customHeight="1" x14ac:dyDescent="0.25">
      <c r="A7" s="505" t="s">
        <v>124</v>
      </c>
      <c r="B7" s="505"/>
      <c r="C7" s="505"/>
      <c r="D7" s="505"/>
      <c r="E7" s="190"/>
      <c r="F7" s="364">
        <f>+F17</f>
        <v>3615100</v>
      </c>
      <c r="G7" s="189"/>
    </row>
    <row r="8" spans="1:7" ht="58.5" customHeight="1" x14ac:dyDescent="0.25">
      <c r="A8" s="99" t="s">
        <v>24</v>
      </c>
      <c r="B8" s="10" t="s">
        <v>123</v>
      </c>
      <c r="C8" s="10" t="s">
        <v>6</v>
      </c>
      <c r="D8" s="10" t="s">
        <v>1</v>
      </c>
      <c r="E8" s="188" t="s">
        <v>6</v>
      </c>
      <c r="F8" s="10" t="s">
        <v>7</v>
      </c>
      <c r="G8" s="10" t="s">
        <v>5</v>
      </c>
    </row>
    <row r="9" spans="1:7" ht="115.5" x14ac:dyDescent="0.25">
      <c r="A9" s="346">
        <v>813242</v>
      </c>
      <c r="B9" s="347" t="s">
        <v>295</v>
      </c>
      <c r="C9" s="348">
        <v>155</v>
      </c>
      <c r="D9" s="349">
        <v>1250000</v>
      </c>
      <c r="E9" s="350">
        <v>186</v>
      </c>
      <c r="F9" s="351">
        <v>1169000</v>
      </c>
      <c r="G9" s="349">
        <f t="shared" ref="G9:G14" si="0">D9-F9</f>
        <v>81000</v>
      </c>
    </row>
    <row r="10" spans="1:7" ht="93" customHeight="1" x14ac:dyDescent="0.25">
      <c r="A10" s="346">
        <v>813242</v>
      </c>
      <c r="B10" s="347" t="s">
        <v>296</v>
      </c>
      <c r="C10" s="348">
        <v>10</v>
      </c>
      <c r="D10" s="349">
        <v>500000</v>
      </c>
      <c r="E10" s="350">
        <v>6</v>
      </c>
      <c r="F10" s="351">
        <v>190000</v>
      </c>
      <c r="G10" s="349">
        <f t="shared" si="0"/>
        <v>310000</v>
      </c>
    </row>
    <row r="11" spans="1:7" ht="67.5" customHeight="1" x14ac:dyDescent="0.25">
      <c r="A11" s="346">
        <v>813242</v>
      </c>
      <c r="B11" s="347" t="s">
        <v>297</v>
      </c>
      <c r="C11" s="348">
        <v>10</v>
      </c>
      <c r="D11" s="349">
        <v>50000</v>
      </c>
      <c r="E11" s="350">
        <v>6</v>
      </c>
      <c r="F11" s="351">
        <v>30000</v>
      </c>
      <c r="G11" s="349">
        <f t="shared" si="0"/>
        <v>20000</v>
      </c>
    </row>
    <row r="12" spans="1:7" ht="93" customHeight="1" x14ac:dyDescent="0.25">
      <c r="A12" s="346">
        <v>813242</v>
      </c>
      <c r="B12" s="347" t="s">
        <v>298</v>
      </c>
      <c r="C12" s="348">
        <v>25</v>
      </c>
      <c r="D12" s="349">
        <v>500000</v>
      </c>
      <c r="E12" s="350">
        <v>14</v>
      </c>
      <c r="F12" s="351">
        <v>280000</v>
      </c>
      <c r="G12" s="349">
        <f t="shared" si="0"/>
        <v>220000</v>
      </c>
    </row>
    <row r="13" spans="1:7" ht="76.5" customHeight="1" x14ac:dyDescent="0.25">
      <c r="A13" s="346">
        <v>813242</v>
      </c>
      <c r="B13" s="352" t="s">
        <v>299</v>
      </c>
      <c r="C13" s="348">
        <v>28</v>
      </c>
      <c r="D13" s="349">
        <v>1400000</v>
      </c>
      <c r="E13" s="350">
        <v>28</v>
      </c>
      <c r="F13" s="351">
        <v>1400000</v>
      </c>
      <c r="G13" s="349">
        <f t="shared" si="0"/>
        <v>0</v>
      </c>
    </row>
    <row r="14" spans="1:7" ht="48.75" customHeight="1" x14ac:dyDescent="0.25">
      <c r="A14" s="346">
        <v>813242</v>
      </c>
      <c r="B14" s="347" t="s">
        <v>246</v>
      </c>
      <c r="C14" s="348">
        <v>131</v>
      </c>
      <c r="D14" s="349">
        <v>563300</v>
      </c>
      <c r="E14" s="350">
        <v>127</v>
      </c>
      <c r="F14" s="351">
        <v>546100</v>
      </c>
      <c r="G14" s="353">
        <f t="shared" si="0"/>
        <v>17200</v>
      </c>
    </row>
    <row r="15" spans="1:7" ht="15.75" x14ac:dyDescent="0.25">
      <c r="A15" s="41"/>
      <c r="B15" s="187"/>
      <c r="C15" s="13"/>
      <c r="D15" s="8"/>
      <c r="E15" s="186"/>
      <c r="F15" s="6"/>
      <c r="G15" s="9">
        <f t="shared" ref="G15:G17" si="1">D15-F15</f>
        <v>0</v>
      </c>
    </row>
    <row r="16" spans="1:7" ht="15.75" x14ac:dyDescent="0.25">
      <c r="A16" s="41"/>
      <c r="B16" s="3"/>
      <c r="C16" s="13"/>
      <c r="D16" s="8"/>
      <c r="E16" s="186"/>
      <c r="F16" s="6"/>
      <c r="G16" s="9">
        <f t="shared" si="1"/>
        <v>0</v>
      </c>
    </row>
    <row r="17" spans="1:7" ht="15.75" x14ac:dyDescent="0.25">
      <c r="A17" s="41"/>
      <c r="B17" s="5" t="s">
        <v>3</v>
      </c>
      <c r="C17" s="5"/>
      <c r="D17" s="7">
        <f>SUM(D9:D16)</f>
        <v>4263300</v>
      </c>
      <c r="E17" s="185"/>
      <c r="F17" s="7">
        <f>SUM(F9:F16)</f>
        <v>3615100</v>
      </c>
      <c r="G17" s="16">
        <f t="shared" si="1"/>
        <v>648200</v>
      </c>
    </row>
    <row r="18" spans="1:7" ht="15.75" x14ac:dyDescent="0.25">
      <c r="A18" s="63"/>
      <c r="B18" s="506" t="s">
        <v>40</v>
      </c>
      <c r="C18" s="506"/>
      <c r="D18" s="506"/>
      <c r="E18" s="507"/>
      <c r="F18" s="75">
        <f>F17/D17*100</f>
        <v>84.795815448127044</v>
      </c>
      <c r="G18" s="60" t="s">
        <v>39</v>
      </c>
    </row>
    <row r="19" spans="1:7" s="12" customFormat="1" ht="26.25" customHeight="1" x14ac:dyDescent="0.25">
      <c r="A19" s="502" t="s">
        <v>201</v>
      </c>
      <c r="B19" s="502"/>
      <c r="C19" s="502"/>
      <c r="D19" s="502"/>
      <c r="E19" s="502"/>
      <c r="F19" s="502"/>
      <c r="G19" s="502"/>
    </row>
    <row r="20" spans="1:7" ht="15.75" x14ac:dyDescent="0.25">
      <c r="B20" s="1"/>
      <c r="C20" s="1"/>
      <c r="D20" s="1"/>
      <c r="E20" s="184"/>
      <c r="F20" s="1"/>
      <c r="G20" s="1"/>
    </row>
    <row r="21" spans="1:7" ht="15.75" x14ac:dyDescent="0.25">
      <c r="B21" s="1"/>
      <c r="C21" s="1"/>
      <c r="D21" s="1"/>
      <c r="E21" s="184"/>
      <c r="F21" s="1"/>
      <c r="G21" s="1"/>
    </row>
    <row r="22" spans="1:7" ht="15.75" x14ac:dyDescent="0.25">
      <c r="A22" t="s">
        <v>202</v>
      </c>
      <c r="B22" s="1"/>
      <c r="C22" s="189"/>
      <c r="D22" s="1"/>
      <c r="E22" s="316" t="s">
        <v>203</v>
      </c>
      <c r="F22" s="1" t="s">
        <v>204</v>
      </c>
      <c r="G22" s="1"/>
    </row>
  </sheetData>
  <mergeCells count="6">
    <mergeCell ref="A6:G6"/>
    <mergeCell ref="A19:G19"/>
    <mergeCell ref="A5:G5"/>
    <mergeCell ref="A4:G4"/>
    <mergeCell ref="A7:D7"/>
    <mergeCell ref="B18:E18"/>
  </mergeCells>
  <pageMargins left="0.39370078740157483" right="0.39370078740157483"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2"/>
  <sheetViews>
    <sheetView workbookViewId="0">
      <selection activeCell="S37" sqref="S37"/>
    </sheetView>
  </sheetViews>
  <sheetFormatPr defaultRowHeight="15" x14ac:dyDescent="0.25"/>
  <cols>
    <col min="1" max="1" width="7.5703125" customWidth="1"/>
    <col min="2" max="2" width="51" customWidth="1"/>
    <col min="3" max="3" width="13.5703125" customWidth="1"/>
    <col min="4" max="4" width="15.5703125" customWidth="1"/>
    <col min="5" max="5" width="13.5703125" style="183" customWidth="1"/>
    <col min="6" max="6" width="16.85546875" customWidth="1"/>
    <col min="7" max="7" width="16.28515625" customWidth="1"/>
    <col min="9" max="9" width="28.28515625" customWidth="1"/>
  </cols>
  <sheetData>
    <row r="1" spans="1:7" ht="15.75" x14ac:dyDescent="0.25">
      <c r="B1" s="1"/>
      <c r="C1" s="1"/>
      <c r="D1" s="1"/>
      <c r="E1" s="184"/>
      <c r="F1" s="1" t="s">
        <v>200</v>
      </c>
    </row>
    <row r="2" spans="1:7" ht="15.75" x14ac:dyDescent="0.25">
      <c r="B2" s="1"/>
      <c r="C2" s="1"/>
      <c r="D2" s="1"/>
      <c r="E2" s="184"/>
      <c r="F2" t="s">
        <v>198</v>
      </c>
      <c r="G2" s="1"/>
    </row>
    <row r="3" spans="1:7" ht="15.75" x14ac:dyDescent="0.25">
      <c r="B3" s="1"/>
      <c r="C3" s="1"/>
      <c r="D3" s="1"/>
      <c r="E3" s="184"/>
      <c r="F3" t="s">
        <v>245</v>
      </c>
      <c r="G3" s="1"/>
    </row>
    <row r="4" spans="1:7" ht="15.75" customHeight="1" x14ac:dyDescent="0.25">
      <c r="A4" s="504" t="s">
        <v>142</v>
      </c>
      <c r="B4" s="504"/>
      <c r="C4" s="504"/>
      <c r="D4" s="504"/>
      <c r="E4" s="504"/>
      <c r="F4" s="504"/>
      <c r="G4" s="504"/>
    </row>
    <row r="5" spans="1:7" ht="36" customHeight="1" x14ac:dyDescent="0.25">
      <c r="A5" s="503" t="s">
        <v>247</v>
      </c>
      <c r="B5" s="503"/>
      <c r="C5" s="503"/>
      <c r="D5" s="503"/>
      <c r="E5" s="503"/>
      <c r="F5" s="503"/>
      <c r="G5" s="503"/>
    </row>
    <row r="6" spans="1:7" ht="71.25" customHeight="1" x14ac:dyDescent="0.25">
      <c r="A6" s="501" t="s">
        <v>248</v>
      </c>
      <c r="B6" s="501"/>
      <c r="C6" s="501"/>
      <c r="D6" s="501"/>
      <c r="E6" s="501"/>
      <c r="F6" s="501"/>
      <c r="G6" s="501"/>
    </row>
    <row r="7" spans="1:7" ht="15.75" customHeight="1" x14ac:dyDescent="0.25">
      <c r="A7" s="505" t="s">
        <v>124</v>
      </c>
      <c r="B7" s="505"/>
      <c r="C7" s="505"/>
      <c r="D7" s="505"/>
      <c r="E7" s="190"/>
      <c r="F7" s="364">
        <f>+F17</f>
        <v>1142000</v>
      </c>
      <c r="G7" s="189"/>
    </row>
    <row r="8" spans="1:7" ht="58.5" customHeight="1" x14ac:dyDescent="0.25">
      <c r="A8" s="99" t="s">
        <v>24</v>
      </c>
      <c r="B8" s="10" t="s">
        <v>123</v>
      </c>
      <c r="C8" s="10" t="s">
        <v>6</v>
      </c>
      <c r="D8" s="10" t="s">
        <v>1</v>
      </c>
      <c r="E8" s="188" t="s">
        <v>6</v>
      </c>
      <c r="F8" s="10" t="s">
        <v>7</v>
      </c>
      <c r="G8" s="10" t="s">
        <v>5</v>
      </c>
    </row>
    <row r="9" spans="1:7" ht="15.75" x14ac:dyDescent="0.25">
      <c r="A9" s="346">
        <v>813242</v>
      </c>
      <c r="B9" s="347" t="s">
        <v>249</v>
      </c>
      <c r="C9" s="348">
        <v>95</v>
      </c>
      <c r="D9" s="349">
        <v>1164000</v>
      </c>
      <c r="E9" s="350">
        <v>92</v>
      </c>
      <c r="F9" s="351">
        <v>1142000</v>
      </c>
      <c r="G9" s="349">
        <f t="shared" ref="G9:G10" si="0">D9-F9</f>
        <v>22000</v>
      </c>
    </row>
    <row r="10" spans="1:7" ht="21.75" hidden="1" customHeight="1" x14ac:dyDescent="0.25">
      <c r="A10" s="354"/>
      <c r="B10" s="347"/>
      <c r="C10" s="348"/>
      <c r="D10" s="349"/>
      <c r="E10" s="350"/>
      <c r="F10" s="351"/>
      <c r="G10" s="349">
        <f t="shared" si="0"/>
        <v>0</v>
      </c>
    </row>
    <row r="11" spans="1:7" ht="18.75" hidden="1" customHeight="1" x14ac:dyDescent="0.25">
      <c r="A11" s="41"/>
      <c r="B11" s="187"/>
      <c r="C11" s="13"/>
      <c r="D11" s="8"/>
      <c r="E11" s="186"/>
      <c r="F11" s="6"/>
      <c r="G11" s="16">
        <f t="shared" ref="G11:G17" si="1">D11-F11</f>
        <v>0</v>
      </c>
    </row>
    <row r="12" spans="1:7" ht="14.25" hidden="1" customHeight="1" x14ac:dyDescent="0.25">
      <c r="A12" s="41"/>
      <c r="B12" s="187"/>
      <c r="C12" s="13"/>
      <c r="D12" s="8"/>
      <c r="E12" s="186"/>
      <c r="F12" s="6"/>
      <c r="G12" s="16">
        <f t="shared" si="1"/>
        <v>0</v>
      </c>
    </row>
    <row r="13" spans="1:7" ht="18" hidden="1" customHeight="1" x14ac:dyDescent="0.25">
      <c r="A13" s="41"/>
      <c r="B13" s="345"/>
      <c r="C13" s="13"/>
      <c r="D13" s="8"/>
      <c r="E13" s="186"/>
      <c r="F13" s="6"/>
      <c r="G13" s="16">
        <f t="shared" si="1"/>
        <v>0</v>
      </c>
    </row>
    <row r="14" spans="1:7" ht="15" hidden="1" customHeight="1" x14ac:dyDescent="0.25">
      <c r="A14" s="41"/>
      <c r="B14" s="187"/>
      <c r="C14" s="13"/>
      <c r="D14" s="8"/>
      <c r="E14" s="186"/>
      <c r="F14" s="6"/>
      <c r="G14" s="9">
        <f t="shared" si="1"/>
        <v>0</v>
      </c>
    </row>
    <row r="15" spans="1:7" ht="15.75" hidden="1" customHeight="1" x14ac:dyDescent="0.25">
      <c r="A15" s="41"/>
      <c r="B15" s="187"/>
      <c r="C15" s="13"/>
      <c r="D15" s="8"/>
      <c r="E15" s="186"/>
      <c r="F15" s="6"/>
      <c r="G15" s="9">
        <f t="shared" si="1"/>
        <v>0</v>
      </c>
    </row>
    <row r="16" spans="1:7" ht="15.75" x14ac:dyDescent="0.25">
      <c r="A16" s="41"/>
      <c r="B16" s="3"/>
      <c r="C16" s="13"/>
      <c r="D16" s="8"/>
      <c r="E16" s="186"/>
      <c r="F16" s="6"/>
      <c r="G16" s="9">
        <f t="shared" si="1"/>
        <v>0</v>
      </c>
    </row>
    <row r="17" spans="1:7" ht="15.75" x14ac:dyDescent="0.25">
      <c r="A17" s="41"/>
      <c r="B17" s="5" t="s">
        <v>3</v>
      </c>
      <c r="C17" s="5"/>
      <c r="D17" s="7">
        <f>SUM(D9:D16)</f>
        <v>1164000</v>
      </c>
      <c r="E17" s="185"/>
      <c r="F17" s="7">
        <f>SUM(F9:F16)</f>
        <v>1142000</v>
      </c>
      <c r="G17" s="16">
        <f t="shared" si="1"/>
        <v>22000</v>
      </c>
    </row>
    <row r="18" spans="1:7" ht="15.75" x14ac:dyDescent="0.25">
      <c r="A18" s="63"/>
      <c r="B18" s="506" t="s">
        <v>40</v>
      </c>
      <c r="C18" s="506"/>
      <c r="D18" s="506"/>
      <c r="E18" s="507"/>
      <c r="F18" s="75">
        <f>F17/D17*100</f>
        <v>98.109965635738831</v>
      </c>
      <c r="G18" s="60" t="s">
        <v>39</v>
      </c>
    </row>
    <row r="19" spans="1:7" s="12" customFormat="1" ht="26.25" customHeight="1" x14ac:dyDescent="0.25">
      <c r="A19" s="508" t="s">
        <v>201</v>
      </c>
      <c r="B19" s="508"/>
      <c r="C19" s="508"/>
      <c r="D19" s="508"/>
      <c r="E19" s="508"/>
      <c r="F19" s="508"/>
      <c r="G19" s="508"/>
    </row>
    <row r="20" spans="1:7" ht="15.75" x14ac:dyDescent="0.25">
      <c r="B20" s="1"/>
      <c r="C20" s="1"/>
      <c r="D20" s="1"/>
      <c r="E20" s="184"/>
      <c r="F20" s="1"/>
      <c r="G20" s="1"/>
    </row>
    <row r="21" spans="1:7" ht="15.75" x14ac:dyDescent="0.25">
      <c r="B21" s="1"/>
      <c r="C21" s="1"/>
      <c r="D21" s="1"/>
      <c r="E21" s="184"/>
      <c r="F21" s="1"/>
      <c r="G21" s="1"/>
    </row>
    <row r="22" spans="1:7" ht="15.75" x14ac:dyDescent="0.25">
      <c r="A22" t="s">
        <v>202</v>
      </c>
      <c r="B22" s="1"/>
      <c r="C22" s="189"/>
      <c r="D22" s="1"/>
      <c r="E22" s="316" t="s">
        <v>203</v>
      </c>
      <c r="F22" s="1" t="s">
        <v>204</v>
      </c>
      <c r="G22" s="1"/>
    </row>
  </sheetData>
  <mergeCells count="6">
    <mergeCell ref="A19:G19"/>
    <mergeCell ref="A4:G4"/>
    <mergeCell ref="A5:G5"/>
    <mergeCell ref="A6:G6"/>
    <mergeCell ref="A7:D7"/>
    <mergeCell ref="B18:E18"/>
  </mergeCells>
  <pageMargins left="0.70866141732283472" right="0.70866141732283472" top="0.74803149606299213" bottom="0.74803149606299213" header="0.31496062992125984" footer="0.31496062992125984"/>
  <pageSetup paperSize="9" scale="64" fitToHeight="6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8"/>
  <sheetViews>
    <sheetView topLeftCell="A7" workbookViewId="0">
      <selection activeCell="B10" sqref="B10"/>
    </sheetView>
  </sheetViews>
  <sheetFormatPr defaultRowHeight="15.75" x14ac:dyDescent="0.25"/>
  <cols>
    <col min="1" max="1" width="8" customWidth="1"/>
    <col min="2" max="2" width="30.85546875" style="15" customWidth="1"/>
    <col min="3" max="3" width="15.5703125" style="15" customWidth="1"/>
    <col min="4" max="4" width="13.85546875" style="15" customWidth="1"/>
    <col min="5" max="5" width="35.85546875" style="15" customWidth="1"/>
    <col min="6" max="6" width="18.140625" style="15" customWidth="1"/>
    <col min="7" max="7" width="15.42578125" style="15" customWidth="1"/>
    <col min="8" max="8" width="15.28515625" style="15" customWidth="1"/>
  </cols>
  <sheetData>
    <row r="1" spans="1:8" x14ac:dyDescent="0.25">
      <c r="F1" s="509" t="s">
        <v>223</v>
      </c>
      <c r="G1" s="509"/>
    </row>
    <row r="2" spans="1:8" x14ac:dyDescent="0.25">
      <c r="F2" t="s">
        <v>198</v>
      </c>
      <c r="G2" s="1"/>
    </row>
    <row r="3" spans="1:8" x14ac:dyDescent="0.25">
      <c r="B3"/>
      <c r="C3"/>
      <c r="D3"/>
      <c r="E3"/>
      <c r="F3" t="s">
        <v>245</v>
      </c>
      <c r="G3" s="1"/>
      <c r="H3"/>
    </row>
    <row r="4" spans="1:8" x14ac:dyDescent="0.25">
      <c r="A4" s="511" t="s">
        <v>142</v>
      </c>
      <c r="B4" s="511"/>
      <c r="C4" s="511"/>
      <c r="D4" s="511"/>
      <c r="E4" s="511"/>
      <c r="F4" s="511"/>
      <c r="G4" s="511"/>
      <c r="H4"/>
    </row>
    <row r="5" spans="1:8" ht="68.25" customHeight="1" x14ac:dyDescent="0.25">
      <c r="A5" s="510" t="s">
        <v>250</v>
      </c>
      <c r="B5" s="510"/>
      <c r="C5" s="510"/>
      <c r="D5" s="510"/>
      <c r="E5" s="510"/>
      <c r="F5" s="510"/>
      <c r="G5" s="510"/>
      <c r="H5"/>
    </row>
    <row r="6" spans="1:8" ht="203.25" customHeight="1" x14ac:dyDescent="0.25">
      <c r="A6" s="514" t="s">
        <v>260</v>
      </c>
      <c r="B6" s="514"/>
      <c r="C6" s="514"/>
      <c r="D6" s="514"/>
      <c r="E6" s="514"/>
      <c r="F6" s="514"/>
      <c r="G6" s="514"/>
      <c r="H6"/>
    </row>
    <row r="7" spans="1:8" ht="15" x14ac:dyDescent="0.25">
      <c r="A7" t="s">
        <v>252</v>
      </c>
      <c r="B7"/>
      <c r="C7"/>
      <c r="D7"/>
      <c r="E7"/>
      <c r="F7" s="365">
        <f>F12</f>
        <v>90287.48</v>
      </c>
      <c r="G7" t="s">
        <v>37</v>
      </c>
      <c r="H7"/>
    </row>
    <row r="8" spans="1:8" ht="31.5" x14ac:dyDescent="0.25">
      <c r="A8" s="41" t="s">
        <v>24</v>
      </c>
      <c r="B8" s="2" t="s">
        <v>0</v>
      </c>
      <c r="C8" s="10" t="s">
        <v>6</v>
      </c>
      <c r="D8" s="2" t="s">
        <v>1</v>
      </c>
      <c r="E8" s="10" t="s">
        <v>6</v>
      </c>
      <c r="F8" s="2" t="s">
        <v>2</v>
      </c>
      <c r="G8" s="2" t="s">
        <v>4</v>
      </c>
      <c r="H8"/>
    </row>
    <row r="9" spans="1:8" ht="141.75" customHeight="1" x14ac:dyDescent="0.25">
      <c r="A9" s="355">
        <v>813032</v>
      </c>
      <c r="B9" s="359" t="s">
        <v>251</v>
      </c>
      <c r="C9" s="356">
        <v>140</v>
      </c>
      <c r="D9" s="349">
        <v>170000</v>
      </c>
      <c r="E9" s="357" t="s">
        <v>261</v>
      </c>
      <c r="F9" s="351">
        <v>87012.34</v>
      </c>
      <c r="G9" s="358">
        <f t="shared" ref="G9:G10" si="0">D9-F9</f>
        <v>82987.66</v>
      </c>
      <c r="H9"/>
    </row>
    <row r="10" spans="1:8" ht="126" customHeight="1" x14ac:dyDescent="0.25">
      <c r="A10" s="355">
        <v>813031</v>
      </c>
      <c r="B10" s="359" t="s">
        <v>243</v>
      </c>
      <c r="C10" s="356">
        <v>50</v>
      </c>
      <c r="D10" s="349">
        <v>60000</v>
      </c>
      <c r="E10" s="349">
        <v>3</v>
      </c>
      <c r="F10" s="351">
        <v>3275.14</v>
      </c>
      <c r="G10" s="358">
        <f t="shared" si="0"/>
        <v>56724.86</v>
      </c>
      <c r="H10"/>
    </row>
    <row r="11" spans="1:8" ht="126" customHeight="1" x14ac:dyDescent="0.25">
      <c r="A11" s="287"/>
      <c r="B11" s="1"/>
      <c r="C11" s="1"/>
      <c r="D11" s="289"/>
      <c r="E11" s="289"/>
      <c r="F11" s="290"/>
      <c r="G11" s="285"/>
      <c r="H11"/>
    </row>
    <row r="12" spans="1:8" x14ac:dyDescent="0.25">
      <c r="A12" s="61"/>
      <c r="B12" s="226" t="s">
        <v>3</v>
      </c>
      <c r="C12" s="226"/>
      <c r="D12" s="284">
        <f>SUM(D9:D11)</f>
        <v>230000</v>
      </c>
      <c r="E12" s="284"/>
      <c r="F12" s="284">
        <f>SUM(F9:F11)</f>
        <v>90287.48</v>
      </c>
      <c r="G12" s="285">
        <f t="shared" ref="G12" si="1">D12-F12</f>
        <v>139712.52000000002</v>
      </c>
    </row>
    <row r="13" spans="1:8" x14ac:dyDescent="0.25">
      <c r="A13" s="63"/>
      <c r="B13" s="512" t="s">
        <v>40</v>
      </c>
      <c r="C13" s="512"/>
      <c r="D13" s="512"/>
      <c r="E13" s="336"/>
      <c r="F13" s="286">
        <f>F12/D12*100</f>
        <v>39.255426086956518</v>
      </c>
      <c r="G13" s="68" t="s">
        <v>39</v>
      </c>
    </row>
    <row r="15" spans="1:8" ht="30" customHeight="1" x14ac:dyDescent="0.25">
      <c r="A15" s="513" t="s">
        <v>186</v>
      </c>
      <c r="B15" s="513"/>
      <c r="C15" s="513"/>
      <c r="D15" s="513"/>
      <c r="E15" s="513"/>
      <c r="F15" s="513"/>
      <c r="G15" s="513"/>
    </row>
    <row r="18" spans="1:7" x14ac:dyDescent="0.25">
      <c r="A18" t="s">
        <v>202</v>
      </c>
      <c r="D18" s="317"/>
      <c r="E18" s="326"/>
      <c r="F18" s="137" t="s">
        <v>203</v>
      </c>
      <c r="G18" s="15" t="s">
        <v>204</v>
      </c>
    </row>
  </sheetData>
  <mergeCells count="6">
    <mergeCell ref="F1:G1"/>
    <mergeCell ref="A5:G5"/>
    <mergeCell ref="A4:G4"/>
    <mergeCell ref="B13:D13"/>
    <mergeCell ref="A15:G15"/>
    <mergeCell ref="A6:G6"/>
  </mergeCells>
  <pageMargins left="0.7" right="0.7" top="0.75" bottom="0.75" header="0.3" footer="0.3"/>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22"/>
  <sheetViews>
    <sheetView workbookViewId="0">
      <selection activeCell="B9" sqref="B9"/>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83" customWidth="1"/>
    <col min="6" max="6" width="16.85546875" customWidth="1"/>
    <col min="7" max="7" width="16.28515625" customWidth="1"/>
    <col min="9" max="9" width="28.28515625" customWidth="1"/>
  </cols>
  <sheetData>
    <row r="1" spans="1:7" ht="15.75" x14ac:dyDescent="0.25">
      <c r="B1" s="1"/>
      <c r="C1" s="1"/>
      <c r="D1" s="1"/>
      <c r="E1" s="184"/>
      <c r="F1" s="1" t="s">
        <v>200</v>
      </c>
    </row>
    <row r="2" spans="1:7" ht="15.75" x14ac:dyDescent="0.25">
      <c r="B2" s="1"/>
      <c r="C2" s="1"/>
      <c r="D2" s="1"/>
      <c r="E2" s="184"/>
      <c r="F2" t="s">
        <v>198</v>
      </c>
      <c r="G2" s="1"/>
    </row>
    <row r="3" spans="1:7" ht="15.75" x14ac:dyDescent="0.25">
      <c r="B3" s="1"/>
      <c r="C3" s="1"/>
      <c r="D3" s="1"/>
      <c r="E3" s="184"/>
      <c r="F3" t="s">
        <v>245</v>
      </c>
      <c r="G3" s="1"/>
    </row>
    <row r="4" spans="1:7" ht="15.75" x14ac:dyDescent="0.25">
      <c r="A4" s="504" t="s">
        <v>142</v>
      </c>
      <c r="B4" s="504"/>
      <c r="C4" s="504"/>
      <c r="D4" s="504"/>
      <c r="E4" s="504"/>
      <c r="F4" s="504"/>
      <c r="G4" s="504"/>
    </row>
    <row r="5" spans="1:7" ht="50.25" customHeight="1" x14ac:dyDescent="0.25">
      <c r="A5" s="503" t="s">
        <v>253</v>
      </c>
      <c r="B5" s="503"/>
      <c r="C5" s="503"/>
      <c r="D5" s="503"/>
      <c r="E5" s="503"/>
      <c r="F5" s="503"/>
      <c r="G5" s="503"/>
    </row>
    <row r="6" spans="1:7" ht="59.25" customHeight="1" x14ac:dyDescent="0.25">
      <c r="A6" s="501" t="s">
        <v>254</v>
      </c>
      <c r="B6" s="501"/>
      <c r="C6" s="501"/>
      <c r="D6" s="501"/>
      <c r="E6" s="501"/>
      <c r="F6" s="501"/>
      <c r="G6" s="501"/>
    </row>
    <row r="7" spans="1:7" ht="15.75" customHeight="1" x14ac:dyDescent="0.25">
      <c r="A7" s="505" t="s">
        <v>124</v>
      </c>
      <c r="B7" s="505"/>
      <c r="C7" s="505"/>
      <c r="D7" s="505"/>
      <c r="E7" s="190"/>
      <c r="F7" s="364">
        <f>+F17</f>
        <v>81238.38</v>
      </c>
      <c r="G7" s="189"/>
    </row>
    <row r="8" spans="1:7" ht="58.5" customHeight="1" x14ac:dyDescent="0.25">
      <c r="A8" s="99" t="s">
        <v>24</v>
      </c>
      <c r="B8" s="10" t="s">
        <v>123</v>
      </c>
      <c r="C8" s="10" t="s">
        <v>6</v>
      </c>
      <c r="D8" s="10" t="s">
        <v>1</v>
      </c>
      <c r="E8" s="188" t="s">
        <v>6</v>
      </c>
      <c r="F8" s="10" t="s">
        <v>7</v>
      </c>
      <c r="G8" s="10" t="s">
        <v>5</v>
      </c>
    </row>
    <row r="9" spans="1:7" ht="15.75" x14ac:dyDescent="0.25">
      <c r="A9" s="346">
        <v>813160</v>
      </c>
      <c r="B9" s="347" t="s">
        <v>255</v>
      </c>
      <c r="C9" s="348">
        <v>58</v>
      </c>
      <c r="D9" s="349">
        <v>140000</v>
      </c>
      <c r="E9" s="350">
        <v>6</v>
      </c>
      <c r="F9" s="351">
        <v>81238.38</v>
      </c>
      <c r="G9" s="349">
        <f t="shared" ref="G9" si="0">D9-F9</f>
        <v>58761.619999999995</v>
      </c>
    </row>
    <row r="10" spans="1:7" ht="21.75" customHeight="1" x14ac:dyDescent="0.25">
      <c r="A10" s="41"/>
      <c r="B10" s="187"/>
      <c r="C10" s="13"/>
      <c r="D10" s="8"/>
      <c r="E10" s="186"/>
      <c r="F10" s="6"/>
      <c r="G10" s="16">
        <f t="shared" ref="G10:G17" si="1">D10-F10</f>
        <v>0</v>
      </c>
    </row>
    <row r="11" spans="1:7" ht="18.75" customHeight="1" x14ac:dyDescent="0.25">
      <c r="A11" s="41"/>
      <c r="B11" s="187"/>
      <c r="C11" s="13"/>
      <c r="D11" s="8"/>
      <c r="E11" s="186"/>
      <c r="F11" s="6"/>
      <c r="G11" s="16">
        <f t="shared" si="1"/>
        <v>0</v>
      </c>
    </row>
    <row r="12" spans="1:7" ht="14.25" customHeight="1" x14ac:dyDescent="0.25">
      <c r="A12" s="41"/>
      <c r="B12" s="187"/>
      <c r="C12" s="13"/>
      <c r="D12" s="8"/>
      <c r="E12" s="186"/>
      <c r="F12" s="6"/>
      <c r="G12" s="16">
        <f t="shared" si="1"/>
        <v>0</v>
      </c>
    </row>
    <row r="13" spans="1:7" ht="18" customHeight="1" x14ac:dyDescent="0.25">
      <c r="A13" s="41"/>
      <c r="B13" s="345"/>
      <c r="C13" s="13"/>
      <c r="D13" s="8"/>
      <c r="E13" s="186"/>
      <c r="F13" s="6"/>
      <c r="G13" s="16">
        <f t="shared" si="1"/>
        <v>0</v>
      </c>
    </row>
    <row r="14" spans="1:7" ht="15" customHeight="1" x14ac:dyDescent="0.25">
      <c r="A14" s="41"/>
      <c r="B14" s="187"/>
      <c r="C14" s="13"/>
      <c r="D14" s="8"/>
      <c r="E14" s="186"/>
      <c r="F14" s="6"/>
      <c r="G14" s="9">
        <f t="shared" si="1"/>
        <v>0</v>
      </c>
    </row>
    <row r="15" spans="1:7" ht="15.75" x14ac:dyDescent="0.25">
      <c r="A15" s="41"/>
      <c r="B15" s="187"/>
      <c r="C15" s="13"/>
      <c r="D15" s="8"/>
      <c r="E15" s="186"/>
      <c r="F15" s="6"/>
      <c r="G15" s="9">
        <f t="shared" si="1"/>
        <v>0</v>
      </c>
    </row>
    <row r="16" spans="1:7" ht="15.75" x14ac:dyDescent="0.25">
      <c r="A16" s="41"/>
      <c r="B16" s="3"/>
      <c r="C16" s="13"/>
      <c r="D16" s="8"/>
      <c r="E16" s="186"/>
      <c r="F16" s="6"/>
      <c r="G16" s="9">
        <f t="shared" si="1"/>
        <v>0</v>
      </c>
    </row>
    <row r="17" spans="1:7" ht="15.75" x14ac:dyDescent="0.25">
      <c r="A17" s="41"/>
      <c r="B17" s="5" t="s">
        <v>3</v>
      </c>
      <c r="C17" s="5"/>
      <c r="D17" s="7">
        <f>SUM(D9:D16)</f>
        <v>140000</v>
      </c>
      <c r="E17" s="185"/>
      <c r="F17" s="7">
        <f>SUM(F9:F16)</f>
        <v>81238.38</v>
      </c>
      <c r="G17" s="16">
        <f t="shared" si="1"/>
        <v>58761.619999999995</v>
      </c>
    </row>
    <row r="18" spans="1:7" ht="15.75" x14ac:dyDescent="0.25">
      <c r="A18" s="63"/>
      <c r="B18" s="506" t="s">
        <v>40</v>
      </c>
      <c r="C18" s="506"/>
      <c r="D18" s="506"/>
      <c r="E18" s="507"/>
      <c r="F18" s="75">
        <f>F17/D17*100</f>
        <v>58.027414285714286</v>
      </c>
      <c r="G18" s="60" t="s">
        <v>39</v>
      </c>
    </row>
    <row r="19" spans="1:7" s="12" customFormat="1" ht="26.25" customHeight="1" x14ac:dyDescent="0.25">
      <c r="A19" s="502" t="s">
        <v>201</v>
      </c>
      <c r="B19" s="502"/>
      <c r="C19" s="502"/>
      <c r="D19" s="502"/>
      <c r="E19" s="502"/>
      <c r="F19" s="502"/>
      <c r="G19" s="502"/>
    </row>
    <row r="20" spans="1:7" ht="15.75" x14ac:dyDescent="0.25">
      <c r="B20" s="1"/>
      <c r="C20" s="1"/>
      <c r="D20" s="1"/>
      <c r="E20" s="184"/>
      <c r="F20" s="1"/>
      <c r="G20" s="1"/>
    </row>
    <row r="21" spans="1:7" ht="15.75" x14ac:dyDescent="0.25">
      <c r="B21" s="1"/>
      <c r="C21" s="1"/>
      <c r="D21" s="1"/>
      <c r="E21" s="184"/>
      <c r="F21" s="1"/>
      <c r="G21" s="1"/>
    </row>
    <row r="22" spans="1:7" ht="15.75" x14ac:dyDescent="0.25">
      <c r="A22" t="s">
        <v>202</v>
      </c>
      <c r="B22" s="1"/>
      <c r="C22" s="189"/>
      <c r="D22" s="1"/>
      <c r="E22" s="316" t="s">
        <v>203</v>
      </c>
      <c r="F22" s="1" t="s">
        <v>204</v>
      </c>
      <c r="G22" s="1"/>
    </row>
  </sheetData>
  <mergeCells count="6">
    <mergeCell ref="A19:G19"/>
    <mergeCell ref="A4:G4"/>
    <mergeCell ref="A5:G5"/>
    <mergeCell ref="A6:G6"/>
    <mergeCell ref="A7:D7"/>
    <mergeCell ref="B18:E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5"/>
  <sheetViews>
    <sheetView workbookViewId="0">
      <selection activeCell="A12" sqref="A12:E12"/>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509" t="s">
        <v>224</v>
      </c>
      <c r="E1" s="509"/>
    </row>
    <row r="2" spans="1:5" ht="15.75" x14ac:dyDescent="0.25">
      <c r="D2" t="s">
        <v>198</v>
      </c>
      <c r="E2" s="1"/>
    </row>
    <row r="3" spans="1:5" ht="15.75" x14ac:dyDescent="0.25">
      <c r="B3" s="17"/>
      <c r="C3" s="17"/>
      <c r="D3" t="s">
        <v>271</v>
      </c>
      <c r="E3" s="1"/>
    </row>
    <row r="4" spans="1:5" ht="15.75" customHeight="1" x14ac:dyDescent="0.25">
      <c r="A4" s="517" t="s">
        <v>142</v>
      </c>
      <c r="B4" s="517"/>
      <c r="C4" s="517"/>
      <c r="D4" s="517"/>
      <c r="E4" s="517"/>
    </row>
    <row r="5" spans="1:5" ht="56.25" customHeight="1" x14ac:dyDescent="0.25">
      <c r="A5" s="515" t="s">
        <v>262</v>
      </c>
      <c r="B5" s="515"/>
      <c r="C5" s="515"/>
      <c r="D5" s="515"/>
      <c r="E5" s="515"/>
    </row>
    <row r="6" spans="1:5" ht="374.25" customHeight="1" x14ac:dyDescent="0.25">
      <c r="A6" s="516" t="s">
        <v>264</v>
      </c>
      <c r="B6" s="516"/>
      <c r="C6" s="516"/>
      <c r="D6" s="516"/>
      <c r="E6" s="516"/>
    </row>
    <row r="7" spans="1:5" ht="15.75" x14ac:dyDescent="0.25">
      <c r="A7" s="43" t="s">
        <v>24</v>
      </c>
      <c r="B7" s="42" t="s">
        <v>12</v>
      </c>
      <c r="C7" s="10" t="s">
        <v>1</v>
      </c>
      <c r="D7" s="10" t="s">
        <v>11</v>
      </c>
      <c r="E7" s="10" t="s">
        <v>5</v>
      </c>
    </row>
    <row r="8" spans="1:5" ht="63" x14ac:dyDescent="0.25">
      <c r="A8" s="165">
        <v>112152</v>
      </c>
      <c r="B8" s="164" t="s">
        <v>120</v>
      </c>
      <c r="C8" s="360">
        <v>332150</v>
      </c>
      <c r="D8" s="361">
        <v>332017</v>
      </c>
      <c r="E8" s="16">
        <f>C8-D8</f>
        <v>133</v>
      </c>
    </row>
    <row r="9" spans="1:5" ht="16.5" x14ac:dyDescent="0.25">
      <c r="A9" s="63"/>
      <c r="B9" s="136" t="s">
        <v>107</v>
      </c>
      <c r="C9" s="135">
        <f>C8</f>
        <v>332150</v>
      </c>
      <c r="D9" s="7">
        <f>D8</f>
        <v>332017</v>
      </c>
      <c r="E9" s="7">
        <f>C9-D9</f>
        <v>133</v>
      </c>
    </row>
    <row r="10" spans="1:5" ht="15.75" x14ac:dyDescent="0.25">
      <c r="A10" s="72"/>
      <c r="B10" s="138" t="s">
        <v>38</v>
      </c>
      <c r="C10" s="59"/>
      <c r="D10" s="73">
        <f>D9/C9*100</f>
        <v>99.959957850368809</v>
      </c>
      <c r="E10" s="71" t="s">
        <v>39</v>
      </c>
    </row>
    <row r="12" spans="1:5" ht="78" customHeight="1" x14ac:dyDescent="0.25">
      <c r="A12" s="513" t="s">
        <v>263</v>
      </c>
      <c r="B12" s="513"/>
      <c r="C12" s="513"/>
      <c r="D12" s="513"/>
      <c r="E12" s="513"/>
    </row>
    <row r="15" spans="1:5" x14ac:dyDescent="0.25">
      <c r="A15" t="s">
        <v>202</v>
      </c>
      <c r="C15" s="324"/>
      <c r="D15" s="158" t="s">
        <v>203</v>
      </c>
      <c r="E15" t="s">
        <v>204</v>
      </c>
    </row>
  </sheetData>
  <mergeCells count="5">
    <mergeCell ref="A5:E5"/>
    <mergeCell ref="A12:E12"/>
    <mergeCell ref="A6:E6"/>
    <mergeCell ref="A4:E4"/>
    <mergeCell ref="D1:E1"/>
  </mergeCells>
  <hyperlinks>
    <hyperlink ref="A5" r:id="rId1" display="https://decentralization.gov.ua/gromada/1726"/>
    <hyperlink ref="A6" r:id="rId2" display="https://decentralization.gov.ua/gromada/1726"/>
  </hyperlinks>
  <pageMargins left="0.7" right="0.7" top="0.75" bottom="0.75" header="0.3" footer="0.3"/>
  <pageSetup paperSize="9" orientation="portrait" horizontalDpi="4294967295" verticalDpi="4294967295"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68"/>
  <sheetViews>
    <sheetView topLeftCell="A37" workbookViewId="0">
      <selection activeCell="A53" sqref="A53:E53"/>
    </sheetView>
  </sheetViews>
  <sheetFormatPr defaultRowHeight="15.75" x14ac:dyDescent="0.25"/>
  <cols>
    <col min="1" max="1" width="7.140625" customWidth="1"/>
    <col min="2" max="2" width="33.42578125" style="15" customWidth="1"/>
    <col min="3" max="3" width="15" style="15" customWidth="1"/>
    <col min="4" max="4" width="14.7109375" style="25" customWidth="1"/>
    <col min="5" max="5" width="14.140625" style="15" customWidth="1"/>
    <col min="6" max="6" width="10" bestFit="1" customWidth="1"/>
    <col min="9" max="9" width="63.140625" customWidth="1"/>
  </cols>
  <sheetData>
    <row r="1" spans="1:6" x14ac:dyDescent="0.25">
      <c r="D1" s="1" t="s">
        <v>212</v>
      </c>
      <c r="E1"/>
    </row>
    <row r="2" spans="1:6" x14ac:dyDescent="0.25">
      <c r="D2" t="s">
        <v>198</v>
      </c>
      <c r="E2" s="1"/>
    </row>
    <row r="3" spans="1:6" x14ac:dyDescent="0.25">
      <c r="B3" s="1"/>
      <c r="C3" s="1"/>
      <c r="D3" t="s">
        <v>304</v>
      </c>
      <c r="E3" s="1"/>
    </row>
    <row r="4" spans="1:6" x14ac:dyDescent="0.25">
      <c r="A4" s="503" t="s">
        <v>143</v>
      </c>
      <c r="B4" s="503"/>
      <c r="C4" s="503"/>
      <c r="D4" s="503"/>
      <c r="E4" s="503"/>
    </row>
    <row r="5" spans="1:6" ht="33" customHeight="1" x14ac:dyDescent="0.25">
      <c r="A5" s="503" t="s">
        <v>312</v>
      </c>
      <c r="B5" s="503"/>
      <c r="C5" s="503"/>
      <c r="D5" s="503"/>
      <c r="E5" s="503"/>
    </row>
    <row r="6" spans="1:6" ht="323.25" customHeight="1" x14ac:dyDescent="0.25">
      <c r="A6" s="520" t="s">
        <v>145</v>
      </c>
      <c r="B6" s="520"/>
      <c r="C6" s="520"/>
      <c r="D6" s="520"/>
      <c r="E6" s="520"/>
    </row>
    <row r="7" spans="1:6" x14ac:dyDescent="0.25">
      <c r="A7" s="519" t="s">
        <v>256</v>
      </c>
      <c r="B7" s="519"/>
      <c r="C7" s="519"/>
      <c r="D7" s="519"/>
      <c r="E7" s="519"/>
    </row>
    <row r="8" spans="1:6" x14ac:dyDescent="0.25">
      <c r="B8" s="330" t="s">
        <v>33</v>
      </c>
      <c r="C8" s="57">
        <f>D50</f>
        <v>844550.66999999993</v>
      </c>
      <c r="D8" s="330"/>
      <c r="E8" s="330"/>
    </row>
    <row r="9" spans="1:6" ht="18.75" customHeight="1" x14ac:dyDescent="0.25">
      <c r="B9" s="332" t="s">
        <v>34</v>
      </c>
      <c r="C9" s="56">
        <f>D54</f>
        <v>2024602</v>
      </c>
      <c r="D9" s="329"/>
      <c r="E9" s="329"/>
    </row>
    <row r="10" spans="1:6" ht="30.75" customHeight="1" x14ac:dyDescent="0.25">
      <c r="A10" s="54" t="s">
        <v>24</v>
      </c>
      <c r="B10" s="10" t="s">
        <v>35</v>
      </c>
      <c r="C10" s="2" t="s">
        <v>1</v>
      </c>
      <c r="D10" s="24" t="s">
        <v>11</v>
      </c>
      <c r="E10" s="2" t="s">
        <v>5</v>
      </c>
    </row>
    <row r="11" spans="1:6" x14ac:dyDescent="0.25">
      <c r="B11" s="521" t="s">
        <v>17</v>
      </c>
      <c r="C11" s="522"/>
      <c r="D11" s="522"/>
      <c r="E11" s="523"/>
    </row>
    <row r="12" spans="1:6" ht="15.6" hidden="1" x14ac:dyDescent="0.35">
      <c r="A12" s="85">
        <v>113241</v>
      </c>
      <c r="B12" s="3" t="s">
        <v>61</v>
      </c>
      <c r="C12" s="6">
        <v>5160187</v>
      </c>
      <c r="D12" s="6">
        <v>4547542.9800000004</v>
      </c>
      <c r="E12" s="6">
        <f>C12-D12</f>
        <v>612644.01999999955</v>
      </c>
    </row>
    <row r="13" spans="1:6" ht="18.75" hidden="1" customHeight="1" x14ac:dyDescent="0.35">
      <c r="A13" s="41"/>
      <c r="B13" s="3" t="s">
        <v>71</v>
      </c>
      <c r="C13" s="6">
        <v>1124304</v>
      </c>
      <c r="D13" s="6">
        <v>951206.77</v>
      </c>
      <c r="E13" s="6">
        <f t="shared" ref="E13:E49" si="0">C13-D13</f>
        <v>173097.22999999998</v>
      </c>
    </row>
    <row r="14" spans="1:6" ht="15.6" hidden="1" x14ac:dyDescent="0.35">
      <c r="A14" s="41"/>
      <c r="B14" s="5" t="s">
        <v>111</v>
      </c>
      <c r="C14" s="100">
        <f>C12+C13</f>
        <v>6284491</v>
      </c>
      <c r="D14" s="100">
        <f>D12+D13</f>
        <v>5498749.75</v>
      </c>
      <c r="E14" s="100">
        <f>E12+E13</f>
        <v>785741.24999999953</v>
      </c>
    </row>
    <row r="15" spans="1:6" ht="30.95" hidden="1" x14ac:dyDescent="0.35">
      <c r="A15" s="41"/>
      <c r="B15" s="3" t="s">
        <v>88</v>
      </c>
      <c r="C15" s="6">
        <v>37610</v>
      </c>
      <c r="D15" s="6">
        <v>36937.25</v>
      </c>
      <c r="E15" s="6">
        <f t="shared" si="0"/>
        <v>672.75</v>
      </c>
      <c r="F15" s="106"/>
    </row>
    <row r="16" spans="1:6" ht="15.6" hidden="1" x14ac:dyDescent="0.35">
      <c r="A16" s="41"/>
      <c r="B16" s="3" t="s">
        <v>89</v>
      </c>
      <c r="C16" s="31">
        <v>146030</v>
      </c>
      <c r="D16" s="32">
        <v>106762.05</v>
      </c>
      <c r="E16" s="6">
        <f t="shared" si="0"/>
        <v>39267.949999999997</v>
      </c>
    </row>
    <row r="17" spans="1:6" ht="15.6" hidden="1" x14ac:dyDescent="0.35">
      <c r="A17" s="41"/>
      <c r="B17" s="3" t="s">
        <v>47</v>
      </c>
      <c r="C17" s="6">
        <v>297000</v>
      </c>
      <c r="D17" s="6">
        <v>176156.6</v>
      </c>
      <c r="E17" s="6">
        <f t="shared" si="0"/>
        <v>120843.4</v>
      </c>
    </row>
    <row r="18" spans="1:6" ht="15.6" hidden="1" x14ac:dyDescent="0.35">
      <c r="A18" s="41"/>
      <c r="B18" s="22" t="s">
        <v>90</v>
      </c>
      <c r="C18" s="6">
        <v>50000</v>
      </c>
      <c r="D18" s="6">
        <v>7207.2</v>
      </c>
      <c r="E18" s="6">
        <f t="shared" si="0"/>
        <v>42792.800000000003</v>
      </c>
    </row>
    <row r="19" spans="1:6" ht="15.6" hidden="1" x14ac:dyDescent="0.35">
      <c r="A19" s="41"/>
      <c r="B19" s="126" t="s">
        <v>112</v>
      </c>
      <c r="C19" s="100">
        <f>C15+C16+C17+C18</f>
        <v>530640</v>
      </c>
      <c r="D19" s="100">
        <f>D15+D16+D17+D18</f>
        <v>327063.10000000003</v>
      </c>
      <c r="E19" s="100">
        <f>E15+E16+E17+E18</f>
        <v>203576.89999999997</v>
      </c>
    </row>
    <row r="20" spans="1:6" x14ac:dyDescent="0.25">
      <c r="A20" s="41">
        <v>113241</v>
      </c>
      <c r="B20" s="126" t="s">
        <v>106</v>
      </c>
      <c r="C20" s="382">
        <v>405360</v>
      </c>
      <c r="D20" s="382">
        <v>352006.61</v>
      </c>
      <c r="E20" s="368">
        <f>+C20-D20</f>
        <v>53353.390000000014</v>
      </c>
    </row>
    <row r="21" spans="1:6" ht="15.75" customHeight="1" x14ac:dyDescent="0.25">
      <c r="A21" s="527" t="s">
        <v>305</v>
      </c>
      <c r="B21" s="528"/>
      <c r="C21" s="528"/>
      <c r="D21" s="528"/>
      <c r="E21" s="529"/>
    </row>
    <row r="22" spans="1:6" ht="15.75" customHeight="1" x14ac:dyDescent="0.25">
      <c r="A22" s="530"/>
      <c r="B22" s="531"/>
      <c r="C22" s="531"/>
      <c r="D22" s="531"/>
      <c r="E22" s="532"/>
    </row>
    <row r="23" spans="1:6" ht="15.75" customHeight="1" x14ac:dyDescent="0.25">
      <c r="A23" s="530"/>
      <c r="B23" s="531"/>
      <c r="C23" s="531"/>
      <c r="D23" s="531"/>
      <c r="E23" s="532"/>
      <c r="F23" s="106"/>
    </row>
    <row r="24" spans="1:6" ht="3.75" customHeight="1" x14ac:dyDescent="0.25">
      <c r="A24" s="530"/>
      <c r="B24" s="531"/>
      <c r="C24" s="531"/>
      <c r="D24" s="531"/>
      <c r="E24" s="532"/>
    </row>
    <row r="25" spans="1:6" ht="15.75" hidden="1" customHeight="1" x14ac:dyDescent="0.25">
      <c r="A25" s="530"/>
      <c r="B25" s="531"/>
      <c r="C25" s="531"/>
      <c r="D25" s="531"/>
      <c r="E25" s="532"/>
    </row>
    <row r="26" spans="1:6" ht="31.5" hidden="1" customHeight="1" x14ac:dyDescent="0.25">
      <c r="A26" s="530"/>
      <c r="B26" s="531"/>
      <c r="C26" s="531"/>
      <c r="D26" s="531"/>
      <c r="E26" s="532"/>
    </row>
    <row r="27" spans="1:6" ht="15.75" hidden="1" customHeight="1" x14ac:dyDescent="0.25">
      <c r="A27" s="530"/>
      <c r="B27" s="531"/>
      <c r="C27" s="531"/>
      <c r="D27" s="531"/>
      <c r="E27" s="532"/>
    </row>
    <row r="28" spans="1:6" ht="15.75" hidden="1" customHeight="1" x14ac:dyDescent="0.25">
      <c r="A28" s="530"/>
      <c r="B28" s="531"/>
      <c r="C28" s="531"/>
      <c r="D28" s="531"/>
      <c r="E28" s="532"/>
    </row>
    <row r="29" spans="1:6" ht="15.75" hidden="1" customHeight="1" x14ac:dyDescent="0.25">
      <c r="A29" s="530"/>
      <c r="B29" s="531"/>
      <c r="C29" s="531"/>
      <c r="D29" s="531"/>
      <c r="E29" s="532"/>
    </row>
    <row r="30" spans="1:6" ht="15.75" hidden="1" customHeight="1" x14ac:dyDescent="0.25">
      <c r="A30" s="530"/>
      <c r="B30" s="531"/>
      <c r="C30" s="531"/>
      <c r="D30" s="531"/>
      <c r="E30" s="532"/>
    </row>
    <row r="31" spans="1:6" ht="15.75" hidden="1" customHeight="1" x14ac:dyDescent="0.25">
      <c r="A31" s="530"/>
      <c r="B31" s="531"/>
      <c r="C31" s="531"/>
      <c r="D31" s="531"/>
      <c r="E31" s="532"/>
    </row>
    <row r="32" spans="1:6" ht="17.25" hidden="1" customHeight="1" x14ac:dyDescent="0.25">
      <c r="A32" s="530"/>
      <c r="B32" s="531"/>
      <c r="C32" s="531"/>
      <c r="D32" s="531"/>
      <c r="E32" s="532"/>
    </row>
    <row r="33" spans="1:9" ht="6.75" hidden="1" customHeight="1" x14ac:dyDescent="0.25">
      <c r="A33" s="533"/>
      <c r="B33" s="534"/>
      <c r="C33" s="534"/>
      <c r="D33" s="534"/>
      <c r="E33" s="535"/>
    </row>
    <row r="34" spans="1:9" x14ac:dyDescent="0.25">
      <c r="A34" s="41"/>
      <c r="B34" s="149" t="s">
        <v>306</v>
      </c>
      <c r="C34" s="382">
        <v>525000</v>
      </c>
      <c r="D34" s="382">
        <v>361045.6</v>
      </c>
      <c r="E34" s="383">
        <f>+C34-D34</f>
        <v>163954.40000000002</v>
      </c>
    </row>
    <row r="35" spans="1:9" ht="17.25" customHeight="1" x14ac:dyDescent="0.25">
      <c r="A35" s="536" t="s">
        <v>307</v>
      </c>
      <c r="B35" s="537"/>
      <c r="C35" s="537"/>
      <c r="D35" s="537"/>
      <c r="E35" s="538"/>
    </row>
    <row r="36" spans="1:9" ht="17.25" customHeight="1" x14ac:dyDescent="0.25">
      <c r="A36" s="539"/>
      <c r="B36" s="540"/>
      <c r="C36" s="540"/>
      <c r="D36" s="540"/>
      <c r="E36" s="541"/>
    </row>
    <row r="37" spans="1:9" ht="12.75" customHeight="1" x14ac:dyDescent="0.25">
      <c r="A37" s="539"/>
      <c r="B37" s="540"/>
      <c r="C37" s="540"/>
      <c r="D37" s="540"/>
      <c r="E37" s="541"/>
      <c r="I37" s="381"/>
    </row>
    <row r="38" spans="1:9" ht="17.25" hidden="1" customHeight="1" x14ac:dyDescent="0.25">
      <c r="A38" s="539"/>
      <c r="B38" s="540"/>
      <c r="C38" s="540"/>
      <c r="D38" s="540"/>
      <c r="E38" s="541"/>
    </row>
    <row r="39" spans="1:9" ht="17.25" hidden="1" customHeight="1" x14ac:dyDescent="0.25">
      <c r="A39" s="539"/>
      <c r="B39" s="540"/>
      <c r="C39" s="540"/>
      <c r="D39" s="540"/>
      <c r="E39" s="541"/>
    </row>
    <row r="40" spans="1:9" ht="17.25" hidden="1" customHeight="1" x14ac:dyDescent="0.25">
      <c r="A40" s="539"/>
      <c r="B40" s="540"/>
      <c r="C40" s="540"/>
      <c r="D40" s="540"/>
      <c r="E40" s="541"/>
    </row>
    <row r="41" spans="1:9" ht="17.25" hidden="1" customHeight="1" x14ac:dyDescent="0.25">
      <c r="A41" s="539"/>
      <c r="B41" s="540"/>
      <c r="C41" s="540"/>
      <c r="D41" s="540"/>
      <c r="E41" s="541"/>
    </row>
    <row r="42" spans="1:9" ht="15.75" hidden="1" customHeight="1" x14ac:dyDescent="0.25">
      <c r="A42" s="539"/>
      <c r="B42" s="540"/>
      <c r="C42" s="540"/>
      <c r="D42" s="540"/>
      <c r="E42" s="541"/>
    </row>
    <row r="43" spans="1:9" ht="1.5" customHeight="1" x14ac:dyDescent="0.25">
      <c r="A43" s="542"/>
      <c r="B43" s="543"/>
      <c r="C43" s="543"/>
      <c r="D43" s="543"/>
      <c r="E43" s="544"/>
    </row>
    <row r="44" spans="1:9" ht="31.5" x14ac:dyDescent="0.25">
      <c r="A44" s="41"/>
      <c r="B44" s="149" t="s">
        <v>308</v>
      </c>
      <c r="C44" s="382">
        <v>337960</v>
      </c>
      <c r="D44" s="382">
        <v>131498.46</v>
      </c>
      <c r="E44" s="368">
        <f t="shared" si="0"/>
        <v>206461.54</v>
      </c>
    </row>
    <row r="45" spans="1:9" ht="15.75" customHeight="1" x14ac:dyDescent="0.25">
      <c r="A45" s="536" t="s">
        <v>309</v>
      </c>
      <c r="B45" s="537"/>
      <c r="C45" s="537"/>
      <c r="D45" s="537"/>
      <c r="E45" s="538"/>
    </row>
    <row r="46" spans="1:9" ht="47.25" customHeight="1" x14ac:dyDescent="0.25">
      <c r="A46" s="539"/>
      <c r="B46" s="540"/>
      <c r="C46" s="540"/>
      <c r="D46" s="540"/>
      <c r="E46" s="541"/>
    </row>
    <row r="47" spans="1:9" ht="34.5" customHeight="1" x14ac:dyDescent="0.25">
      <c r="A47" s="542"/>
      <c r="B47" s="543"/>
      <c r="C47" s="543"/>
      <c r="D47" s="543"/>
      <c r="E47" s="544"/>
    </row>
    <row r="48" spans="1:9" ht="47.25" x14ac:dyDescent="0.25">
      <c r="A48" s="62"/>
      <c r="B48" s="384" t="s">
        <v>169</v>
      </c>
      <c r="C48" s="382">
        <v>17040</v>
      </c>
      <c r="D48" s="382">
        <v>17040</v>
      </c>
      <c r="E48" s="100">
        <f t="shared" si="0"/>
        <v>0</v>
      </c>
    </row>
    <row r="49" spans="1:9" x14ac:dyDescent="0.25">
      <c r="A49" s="62"/>
      <c r="B49" s="384" t="s">
        <v>310</v>
      </c>
      <c r="C49" s="382">
        <v>87000</v>
      </c>
      <c r="D49" s="385">
        <v>0</v>
      </c>
      <c r="E49" s="100">
        <f t="shared" si="0"/>
        <v>87000</v>
      </c>
      <c r="F49" s="106"/>
      <c r="I49" s="204"/>
    </row>
    <row r="50" spans="1:9" x14ac:dyDescent="0.25">
      <c r="A50" s="41"/>
      <c r="B50" s="331" t="s">
        <v>16</v>
      </c>
      <c r="C50" s="35">
        <f>+C20+C34+C44+C48+C49</f>
        <v>1372360</v>
      </c>
      <c r="D50" s="35">
        <f>+D20+D34+D44</f>
        <v>844550.66999999993</v>
      </c>
      <c r="E50" s="35">
        <f>+C50-D50</f>
        <v>527809.33000000007</v>
      </c>
      <c r="I50" s="204"/>
    </row>
    <row r="51" spans="1:9" x14ac:dyDescent="0.25">
      <c r="A51" s="524" t="s">
        <v>18</v>
      </c>
      <c r="B51" s="525"/>
      <c r="C51" s="525"/>
      <c r="D51" s="525"/>
      <c r="E51" s="526"/>
    </row>
    <row r="52" spans="1:9" ht="32.25" customHeight="1" x14ac:dyDescent="0.25">
      <c r="A52" s="84">
        <v>113241</v>
      </c>
      <c r="B52" s="1" t="s">
        <v>92</v>
      </c>
      <c r="C52" s="382">
        <v>2850000</v>
      </c>
      <c r="D52" s="382">
        <v>2024602</v>
      </c>
      <c r="E52" s="386">
        <f>+C52-D52</f>
        <v>825398</v>
      </c>
    </row>
    <row r="53" spans="1:9" ht="33" customHeight="1" x14ac:dyDescent="0.25">
      <c r="A53" s="545" t="s">
        <v>311</v>
      </c>
      <c r="B53" s="546"/>
      <c r="C53" s="546"/>
      <c r="D53" s="546"/>
      <c r="E53" s="547"/>
    </row>
    <row r="54" spans="1:9" x14ac:dyDescent="0.25">
      <c r="A54" s="41"/>
      <c r="B54" s="250" t="s">
        <v>19</v>
      </c>
      <c r="C54" s="35">
        <f>C52</f>
        <v>2850000</v>
      </c>
      <c r="D54" s="35">
        <f>D52</f>
        <v>2024602</v>
      </c>
      <c r="E54" s="35">
        <f>E53</f>
        <v>0</v>
      </c>
    </row>
    <row r="55" spans="1:9" ht="15.6" hidden="1" x14ac:dyDescent="0.35">
      <c r="A55" s="63"/>
      <c r="B55" s="205" t="s">
        <v>94</v>
      </c>
      <c r="C55" s="31">
        <v>4267199.74</v>
      </c>
      <c r="D55" s="31">
        <v>4267199.74</v>
      </c>
      <c r="E55" s="148"/>
    </row>
    <row r="56" spans="1:9" ht="15.6" hidden="1" x14ac:dyDescent="0.35">
      <c r="A56" s="63"/>
      <c r="B56" s="205" t="s">
        <v>134</v>
      </c>
      <c r="C56" s="31">
        <v>443970</v>
      </c>
      <c r="D56" s="31">
        <v>443970</v>
      </c>
      <c r="E56" s="148"/>
    </row>
    <row r="57" spans="1:9" ht="15.6" hidden="1" x14ac:dyDescent="0.35">
      <c r="A57" s="63"/>
      <c r="B57" s="205" t="s">
        <v>135</v>
      </c>
      <c r="C57" s="31">
        <v>250000</v>
      </c>
      <c r="D57" s="31">
        <v>250000</v>
      </c>
      <c r="E57" s="148"/>
    </row>
    <row r="58" spans="1:9" ht="15.6" hidden="1" x14ac:dyDescent="0.35">
      <c r="A58" s="63"/>
      <c r="B58" s="205" t="s">
        <v>136</v>
      </c>
      <c r="C58" s="31">
        <v>37611</v>
      </c>
      <c r="D58" s="31">
        <v>37611</v>
      </c>
      <c r="E58" s="148"/>
    </row>
    <row r="59" spans="1:9" ht="15.6" hidden="1" x14ac:dyDescent="0.35">
      <c r="A59" s="63"/>
      <c r="B59" s="205" t="s">
        <v>137</v>
      </c>
      <c r="C59" s="31">
        <v>45260</v>
      </c>
      <c r="D59" s="31">
        <v>45260</v>
      </c>
      <c r="E59" s="148"/>
      <c r="H59">
        <f>443970+250000+37611+45260+4267199.74</f>
        <v>5044040.74</v>
      </c>
    </row>
    <row r="60" spans="1:9" ht="30.95" hidden="1" x14ac:dyDescent="0.35">
      <c r="A60" s="63"/>
      <c r="B60" s="120" t="s">
        <v>138</v>
      </c>
      <c r="C60" s="31">
        <v>286787.21999999997</v>
      </c>
      <c r="D60" s="31">
        <v>286787.21999999997</v>
      </c>
      <c r="E60" s="148"/>
    </row>
    <row r="61" spans="1:9" ht="15.6" hidden="1" x14ac:dyDescent="0.35">
      <c r="A61" s="63"/>
      <c r="B61" s="250"/>
      <c r="C61" s="35">
        <f>SUM(C55:C60)</f>
        <v>5330827.96</v>
      </c>
      <c r="D61" s="35">
        <f>SUM(D55:D60)</f>
        <v>5330827.96</v>
      </c>
      <c r="E61" s="148"/>
    </row>
    <row r="62" spans="1:9" ht="15.6" hidden="1" x14ac:dyDescent="0.35">
      <c r="A62" s="63"/>
      <c r="B62" s="250" t="s">
        <v>139</v>
      </c>
      <c r="C62" s="35">
        <f>C54+C61</f>
        <v>8180827.96</v>
      </c>
      <c r="D62" s="35">
        <f>D54+D61</f>
        <v>7355429.96</v>
      </c>
      <c r="E62" s="148"/>
    </row>
    <row r="63" spans="1:9" ht="15.6" hidden="1" x14ac:dyDescent="0.35">
      <c r="A63" s="63"/>
      <c r="B63" s="250" t="s">
        <v>115</v>
      </c>
      <c r="C63" s="35">
        <f>C50+C62</f>
        <v>9553187.9600000009</v>
      </c>
      <c r="D63" s="35"/>
      <c r="E63" s="148"/>
    </row>
    <row r="64" spans="1:9" x14ac:dyDescent="0.25">
      <c r="A64" s="63"/>
      <c r="B64" s="250" t="s">
        <v>141</v>
      </c>
      <c r="C64" s="194">
        <f>C50+C54</f>
        <v>4222360</v>
      </c>
      <c r="D64" s="194">
        <f>+D20+D34+D44+D48</f>
        <v>861590.66999999993</v>
      </c>
      <c r="E64" s="194">
        <f>E50+E54</f>
        <v>527809.33000000007</v>
      </c>
    </row>
    <row r="65" spans="1:7" x14ac:dyDescent="0.25">
      <c r="A65" s="63"/>
      <c r="B65" s="333" t="s">
        <v>40</v>
      </c>
      <c r="C65" s="66"/>
      <c r="D65" s="70">
        <f>D64/C64*100</f>
        <v>20.405428954423591</v>
      </c>
      <c r="E65" s="71" t="s">
        <v>39</v>
      </c>
    </row>
    <row r="66" spans="1:7" ht="82.5" customHeight="1" x14ac:dyDescent="0.25">
      <c r="A66" s="518" t="s">
        <v>144</v>
      </c>
      <c r="B66" s="518"/>
      <c r="C66" s="518"/>
      <c r="D66" s="518"/>
      <c r="E66" s="518"/>
      <c r="F66" s="207"/>
      <c r="G66" s="207"/>
    </row>
    <row r="67" spans="1:7" ht="18.75" customHeight="1" x14ac:dyDescent="0.25">
      <c r="B67" s="519"/>
      <c r="C67" s="519"/>
      <c r="D67" s="519"/>
      <c r="E67" s="519"/>
    </row>
    <row r="68" spans="1:7" x14ac:dyDescent="0.25">
      <c r="A68" t="s">
        <v>202</v>
      </c>
      <c r="C68" s="317"/>
      <c r="D68" s="318" t="s">
        <v>203</v>
      </c>
      <c r="E68" s="15" t="s">
        <v>204</v>
      </c>
    </row>
  </sheetData>
  <mergeCells count="12">
    <mergeCell ref="A66:E66"/>
    <mergeCell ref="B67:E67"/>
    <mergeCell ref="A4:E4"/>
    <mergeCell ref="A5:E5"/>
    <mergeCell ref="A6:E6"/>
    <mergeCell ref="A7:E7"/>
    <mergeCell ref="B11:E11"/>
    <mergeCell ref="A51:E51"/>
    <mergeCell ref="A21:E33"/>
    <mergeCell ref="A35:E43"/>
    <mergeCell ref="A45:E47"/>
    <mergeCell ref="A53:E53"/>
  </mergeCells>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1"/>
  <sheetViews>
    <sheetView workbookViewId="0">
      <selection activeCell="I12" sqref="I12"/>
    </sheetView>
  </sheetViews>
  <sheetFormatPr defaultRowHeight="15.75" x14ac:dyDescent="0.25"/>
  <cols>
    <col min="1" max="1" width="7.140625" customWidth="1"/>
    <col min="2" max="2" width="33.28515625" style="15" customWidth="1"/>
    <col min="3" max="3" width="14.7109375" style="15" customWidth="1"/>
    <col min="4" max="4" width="13.5703125" style="25" customWidth="1"/>
    <col min="5" max="5" width="15.28515625" style="15" customWidth="1"/>
  </cols>
  <sheetData>
    <row r="1" spans="1:5" ht="18.75" customHeight="1" x14ac:dyDescent="0.25">
      <c r="D1" s="1" t="s">
        <v>207</v>
      </c>
      <c r="E1"/>
    </row>
    <row r="2" spans="1:5" x14ac:dyDescent="0.25">
      <c r="D2" t="s">
        <v>198</v>
      </c>
      <c r="E2" s="1"/>
    </row>
    <row r="3" spans="1:5" x14ac:dyDescent="0.25">
      <c r="C3" s="1"/>
      <c r="D3" t="s">
        <v>270</v>
      </c>
      <c r="E3" s="1"/>
    </row>
    <row r="4" spans="1:5" x14ac:dyDescent="0.25">
      <c r="A4" s="511" t="s">
        <v>142</v>
      </c>
      <c r="B4" s="511"/>
      <c r="C4" s="511"/>
      <c r="D4" s="511"/>
      <c r="E4" s="511"/>
    </row>
    <row r="5" spans="1:5" ht="33" customHeight="1" x14ac:dyDescent="0.25">
      <c r="A5" s="503" t="s">
        <v>237</v>
      </c>
      <c r="B5" s="503"/>
      <c r="C5" s="503"/>
      <c r="D5" s="503"/>
      <c r="E5" s="503"/>
    </row>
    <row r="6" spans="1:5" ht="237.75" customHeight="1" x14ac:dyDescent="0.25">
      <c r="A6" s="513" t="s">
        <v>257</v>
      </c>
      <c r="B6" s="513"/>
      <c r="C6" s="513"/>
      <c r="D6" s="513"/>
      <c r="E6" s="513"/>
    </row>
    <row r="7" spans="1:5" x14ac:dyDescent="0.25">
      <c r="A7" s="519" t="s">
        <v>256</v>
      </c>
      <c r="B7" s="519"/>
      <c r="C7" s="519"/>
      <c r="D7" s="519"/>
      <c r="E7" s="519"/>
    </row>
    <row r="8" spans="1:5" x14ac:dyDescent="0.25">
      <c r="B8" s="93" t="s">
        <v>33</v>
      </c>
      <c r="C8" s="57">
        <f>D16</f>
        <v>2644031.7999999998</v>
      </c>
      <c r="D8" s="97" t="s">
        <v>37</v>
      </c>
      <c r="E8" s="93"/>
    </row>
    <row r="9" spans="1:5" ht="30.75" customHeight="1" x14ac:dyDescent="0.25">
      <c r="A9" s="54" t="s">
        <v>24</v>
      </c>
      <c r="B9" s="10" t="s">
        <v>95</v>
      </c>
      <c r="C9" s="2" t="s">
        <v>1</v>
      </c>
      <c r="D9" s="24" t="s">
        <v>9</v>
      </c>
      <c r="E9" s="2" t="s">
        <v>5</v>
      </c>
    </row>
    <row r="10" spans="1:5" x14ac:dyDescent="0.25">
      <c r="B10" s="521" t="s">
        <v>17</v>
      </c>
      <c r="C10" s="522"/>
      <c r="D10" s="522"/>
      <c r="E10" s="523"/>
    </row>
    <row r="11" spans="1:5" x14ac:dyDescent="0.25">
      <c r="A11" s="85">
        <v>111021</v>
      </c>
      <c r="B11" s="3" t="s">
        <v>57</v>
      </c>
      <c r="C11" s="6">
        <v>1225</v>
      </c>
      <c r="D11" s="6">
        <v>0</v>
      </c>
      <c r="E11" s="6">
        <f>C11-D11</f>
        <v>1225</v>
      </c>
    </row>
    <row r="12" spans="1:5" x14ac:dyDescent="0.25">
      <c r="A12" s="41"/>
      <c r="B12" s="3" t="s">
        <v>58</v>
      </c>
      <c r="C12" s="6">
        <v>14126.2</v>
      </c>
      <c r="D12" s="6">
        <v>14126.2</v>
      </c>
      <c r="E12" s="6">
        <f>C12-D12</f>
        <v>0</v>
      </c>
    </row>
    <row r="13" spans="1:5" x14ac:dyDescent="0.25">
      <c r="A13" s="41"/>
      <c r="B13" s="3" t="s">
        <v>59</v>
      </c>
      <c r="C13" s="6">
        <v>404548</v>
      </c>
      <c r="D13" s="6">
        <v>0</v>
      </c>
      <c r="E13" s="6">
        <f>C13-D13</f>
        <v>404548</v>
      </c>
    </row>
    <row r="14" spans="1:5" x14ac:dyDescent="0.25">
      <c r="A14" s="41"/>
      <c r="B14" s="3" t="s">
        <v>258</v>
      </c>
      <c r="C14" s="6">
        <v>1598023.8</v>
      </c>
      <c r="D14" s="6">
        <v>1400807.91</v>
      </c>
      <c r="E14" s="6">
        <f>C14-D14</f>
        <v>197215.89000000013</v>
      </c>
    </row>
    <row r="15" spans="1:5" x14ac:dyDescent="0.25">
      <c r="A15" s="41"/>
      <c r="B15" s="3" t="s">
        <v>60</v>
      </c>
      <c r="C15" s="6">
        <v>1465850</v>
      </c>
      <c r="D15" s="6">
        <v>1229097.69</v>
      </c>
      <c r="E15" s="6">
        <f>C15-D15</f>
        <v>236752.31000000006</v>
      </c>
    </row>
    <row r="16" spans="1:5" x14ac:dyDescent="0.25">
      <c r="A16" s="41"/>
      <c r="B16" s="128" t="s">
        <v>42</v>
      </c>
      <c r="C16" s="35">
        <f>SUM(C11:C15)</f>
        <v>3483773</v>
      </c>
      <c r="D16" s="35">
        <f>SUM(D11:D15)</f>
        <v>2644031.7999999998</v>
      </c>
      <c r="E16" s="35">
        <f>SUM(E11:E15)</f>
        <v>839741.20000000019</v>
      </c>
    </row>
    <row r="17" spans="1:5" x14ac:dyDescent="0.25">
      <c r="A17" s="63"/>
      <c r="B17" s="65" t="s">
        <v>40</v>
      </c>
      <c r="C17" s="67"/>
      <c r="D17" s="69">
        <f>D16/C16*100</f>
        <v>75.895639583864963</v>
      </c>
      <c r="E17" s="68" t="s">
        <v>39</v>
      </c>
    </row>
    <row r="18" spans="1:5" x14ac:dyDescent="0.25">
      <c r="B18" s="548"/>
      <c r="C18" s="548"/>
      <c r="D18" s="548"/>
      <c r="E18" s="548"/>
    </row>
    <row r="19" spans="1:5" ht="64.5" customHeight="1" x14ac:dyDescent="0.25">
      <c r="A19" s="513" t="s">
        <v>259</v>
      </c>
      <c r="B19" s="513"/>
      <c r="C19" s="513"/>
      <c r="D19" s="513"/>
      <c r="E19" s="513"/>
    </row>
    <row r="20" spans="1:5" ht="78" customHeight="1" x14ac:dyDescent="0.25"/>
    <row r="21" spans="1:5" x14ac:dyDescent="0.25">
      <c r="A21" t="s">
        <v>208</v>
      </c>
      <c r="C21" s="317"/>
      <c r="D21" s="318" t="s">
        <v>203</v>
      </c>
      <c r="E21" s="15" t="s">
        <v>204</v>
      </c>
    </row>
  </sheetData>
  <mergeCells count="7">
    <mergeCell ref="A19:E19"/>
    <mergeCell ref="B18:E18"/>
    <mergeCell ref="A4:E4"/>
    <mergeCell ref="A5:E5"/>
    <mergeCell ref="A6:E6"/>
    <mergeCell ref="A7:E7"/>
    <mergeCell ref="B10:E10"/>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F163"/>
  <sheetViews>
    <sheetView topLeftCell="A154" workbookViewId="0">
      <selection activeCell="D153" sqref="D153"/>
    </sheetView>
  </sheetViews>
  <sheetFormatPr defaultRowHeight="15.75" x14ac:dyDescent="0.25"/>
  <cols>
    <col min="1" max="1" width="7.140625" customWidth="1"/>
    <col min="2" max="2" width="32" style="15" customWidth="1"/>
    <col min="3" max="3" width="8.28515625" style="15" customWidth="1"/>
    <col min="4" max="4" width="15.28515625" style="123" customWidth="1"/>
    <col min="5" max="5" width="17" style="123" customWidth="1"/>
    <col min="6" max="6" width="15.140625" style="123" customWidth="1"/>
  </cols>
  <sheetData>
    <row r="1" spans="1:6" x14ac:dyDescent="0.25">
      <c r="E1" s="1" t="s">
        <v>213</v>
      </c>
      <c r="F1"/>
    </row>
    <row r="2" spans="1:6" x14ac:dyDescent="0.25">
      <c r="E2" t="s">
        <v>198</v>
      </c>
      <c r="F2" s="1"/>
    </row>
    <row r="3" spans="1:6" x14ac:dyDescent="0.25">
      <c r="B3" s="1"/>
      <c r="C3" s="1"/>
      <c r="D3" s="103"/>
      <c r="E3" t="s">
        <v>386</v>
      </c>
      <c r="F3" s="1"/>
    </row>
    <row r="4" spans="1:6" x14ac:dyDescent="0.25">
      <c r="A4" s="504" t="s">
        <v>142</v>
      </c>
      <c r="B4" s="504"/>
      <c r="C4" s="504"/>
      <c r="D4" s="504"/>
      <c r="E4" s="504"/>
      <c r="F4" s="504"/>
    </row>
    <row r="5" spans="1:6" ht="33" customHeight="1" x14ac:dyDescent="0.25">
      <c r="A5" s="510" t="s">
        <v>238</v>
      </c>
      <c r="B5" s="510"/>
      <c r="C5" s="510"/>
      <c r="D5" s="510"/>
      <c r="E5" s="510"/>
      <c r="F5" s="510"/>
    </row>
    <row r="6" spans="1:6" s="118" customFormat="1" ht="348.75" customHeight="1" x14ac:dyDescent="0.25">
      <c r="A6" s="550" t="s">
        <v>322</v>
      </c>
      <c r="B6" s="550"/>
      <c r="C6" s="550"/>
      <c r="D6" s="550"/>
      <c r="E6" s="550"/>
      <c r="F6" s="550"/>
    </row>
    <row r="7" spans="1:6" s="118" customFormat="1" ht="84" customHeight="1" x14ac:dyDescent="0.25">
      <c r="A7" s="550"/>
      <c r="B7" s="550"/>
      <c r="C7" s="550"/>
      <c r="D7" s="550"/>
      <c r="E7" s="550"/>
      <c r="F7" s="550"/>
    </row>
    <row r="8" spans="1:6" ht="15" customHeight="1" x14ac:dyDescent="0.25">
      <c r="A8" s="49" t="s">
        <v>256</v>
      </c>
      <c r="B8" s="49"/>
      <c r="C8" s="49"/>
      <c r="D8" s="49"/>
      <c r="E8" s="366">
        <f>+D9+D10</f>
        <v>17450187.379999999</v>
      </c>
      <c r="F8" s="121" t="s">
        <v>37</v>
      </c>
    </row>
    <row r="9" spans="1:6" x14ac:dyDescent="0.25">
      <c r="B9" s="115" t="s">
        <v>33</v>
      </c>
      <c r="C9" s="115"/>
      <c r="D9" s="57">
        <f>E128</f>
        <v>12790246.33</v>
      </c>
      <c r="E9" s="57" t="s">
        <v>37</v>
      </c>
      <c r="F9" s="55"/>
    </row>
    <row r="10" spans="1:6" x14ac:dyDescent="0.25">
      <c r="B10" s="53" t="s">
        <v>34</v>
      </c>
      <c r="C10" s="116"/>
      <c r="D10" s="56">
        <f>E158</f>
        <v>4659941.05</v>
      </c>
      <c r="E10" s="121" t="s">
        <v>37</v>
      </c>
      <c r="F10" s="56"/>
    </row>
    <row r="11" spans="1:6" ht="30.75" customHeight="1" x14ac:dyDescent="0.25">
      <c r="A11" s="54" t="s">
        <v>24</v>
      </c>
      <c r="B11" s="10" t="s">
        <v>96</v>
      </c>
      <c r="C11" s="2" t="s">
        <v>36</v>
      </c>
      <c r="D11" s="122" t="s">
        <v>1</v>
      </c>
      <c r="E11" s="122" t="s">
        <v>11</v>
      </c>
      <c r="F11" s="122" t="s">
        <v>5</v>
      </c>
    </row>
    <row r="12" spans="1:6" x14ac:dyDescent="0.25">
      <c r="A12" s="41"/>
      <c r="B12" s="551" t="s">
        <v>17</v>
      </c>
      <c r="C12" s="551"/>
      <c r="D12" s="551"/>
      <c r="E12" s="551"/>
      <c r="F12" s="551"/>
    </row>
    <row r="13" spans="1:6" x14ac:dyDescent="0.25">
      <c r="A13" s="85">
        <v>111010</v>
      </c>
      <c r="B13" s="223" t="s">
        <v>179</v>
      </c>
      <c r="C13" s="223"/>
      <c r="D13" s="237"/>
      <c r="E13" s="237"/>
      <c r="F13" s="237"/>
    </row>
    <row r="14" spans="1:6" ht="31.5" x14ac:dyDescent="0.25">
      <c r="A14" s="41"/>
      <c r="B14" s="153" t="s">
        <v>128</v>
      </c>
      <c r="C14" s="5"/>
      <c r="D14" s="105">
        <v>1891000</v>
      </c>
      <c r="E14" s="105">
        <v>1451764.56</v>
      </c>
      <c r="F14" s="19">
        <f>D14-E14</f>
        <v>439235.43999999994</v>
      </c>
    </row>
    <row r="15" spans="1:6" x14ac:dyDescent="0.25">
      <c r="A15" s="41"/>
      <c r="B15" s="153" t="s">
        <v>129</v>
      </c>
      <c r="C15" s="5"/>
      <c r="D15" s="100">
        <v>78000</v>
      </c>
      <c r="E15" s="100">
        <v>51495.95</v>
      </c>
      <c r="F15" s="6">
        <f t="shared" ref="F15" si="0">D15-E15</f>
        <v>26504.050000000003</v>
      </c>
    </row>
    <row r="16" spans="1:6" x14ac:dyDescent="0.25">
      <c r="A16" s="41"/>
      <c r="B16" s="153" t="s">
        <v>106</v>
      </c>
      <c r="C16" s="3"/>
      <c r="D16" s="100">
        <v>2933025</v>
      </c>
      <c r="E16" s="100">
        <v>2906593.27</v>
      </c>
      <c r="F16" s="6">
        <f>D16-E16</f>
        <v>26431.729999999981</v>
      </c>
    </row>
    <row r="17" spans="1:6" ht="15.75" customHeight="1" x14ac:dyDescent="0.25">
      <c r="A17" s="41"/>
      <c r="B17" s="527" t="s">
        <v>387</v>
      </c>
      <c r="C17" s="528"/>
      <c r="D17" s="528"/>
      <c r="E17" s="528"/>
      <c r="F17" s="529"/>
    </row>
    <row r="18" spans="1:6" ht="15.75" customHeight="1" x14ac:dyDescent="0.25">
      <c r="A18" s="41"/>
      <c r="B18" s="530"/>
      <c r="C18" s="531"/>
      <c r="D18" s="531"/>
      <c r="E18" s="531"/>
      <c r="F18" s="532"/>
    </row>
    <row r="19" spans="1:6" ht="15.75" customHeight="1" x14ac:dyDescent="0.25">
      <c r="A19" s="41"/>
      <c r="B19" s="530"/>
      <c r="C19" s="531"/>
      <c r="D19" s="531"/>
      <c r="E19" s="531"/>
      <c r="F19" s="532"/>
    </row>
    <row r="20" spans="1:6" ht="15.75" customHeight="1" x14ac:dyDescent="0.25">
      <c r="A20" s="41"/>
      <c r="B20" s="530"/>
      <c r="C20" s="531"/>
      <c r="D20" s="531"/>
      <c r="E20" s="531"/>
      <c r="F20" s="532"/>
    </row>
    <row r="21" spans="1:6" ht="15.75" customHeight="1" x14ac:dyDescent="0.25">
      <c r="A21" s="41"/>
      <c r="B21" s="530"/>
      <c r="C21" s="531"/>
      <c r="D21" s="531"/>
      <c r="E21" s="531"/>
      <c r="F21" s="532"/>
    </row>
    <row r="22" spans="1:6" ht="31.5" customHeight="1" x14ac:dyDescent="0.25">
      <c r="A22" s="41"/>
      <c r="B22" s="530"/>
      <c r="C22" s="531"/>
      <c r="D22" s="531"/>
      <c r="E22" s="531"/>
      <c r="F22" s="532"/>
    </row>
    <row r="23" spans="1:6" ht="15.75" customHeight="1" x14ac:dyDescent="0.25">
      <c r="A23" s="41"/>
      <c r="B23" s="530"/>
      <c r="C23" s="531"/>
      <c r="D23" s="531"/>
      <c r="E23" s="531"/>
      <c r="F23" s="532"/>
    </row>
    <row r="24" spans="1:6" ht="15.75" customHeight="1" x14ac:dyDescent="0.25">
      <c r="A24" s="41"/>
      <c r="B24" s="530"/>
      <c r="C24" s="531"/>
      <c r="D24" s="531"/>
      <c r="E24" s="531"/>
      <c r="F24" s="532"/>
    </row>
    <row r="25" spans="1:6" ht="15.75" customHeight="1" x14ac:dyDescent="0.25">
      <c r="A25" s="41"/>
      <c r="B25" s="530"/>
      <c r="C25" s="531"/>
      <c r="D25" s="531"/>
      <c r="E25" s="531"/>
      <c r="F25" s="532"/>
    </row>
    <row r="26" spans="1:6" ht="15.75" customHeight="1" x14ac:dyDescent="0.25">
      <c r="A26" s="41"/>
      <c r="B26" s="530"/>
      <c r="C26" s="531"/>
      <c r="D26" s="531"/>
      <c r="E26" s="531"/>
      <c r="F26" s="532"/>
    </row>
    <row r="27" spans="1:6" ht="15.75" customHeight="1" x14ac:dyDescent="0.25">
      <c r="A27" s="41"/>
      <c r="B27" s="530"/>
      <c r="C27" s="531"/>
      <c r="D27" s="531"/>
      <c r="E27" s="531"/>
      <c r="F27" s="532"/>
    </row>
    <row r="28" spans="1:6" ht="15.75" customHeight="1" x14ac:dyDescent="0.25">
      <c r="A28" s="41"/>
      <c r="B28" s="530"/>
      <c r="C28" s="531"/>
      <c r="D28" s="531"/>
      <c r="E28" s="531"/>
      <c r="F28" s="532"/>
    </row>
    <row r="29" spans="1:6" ht="15.75" customHeight="1" x14ac:dyDescent="0.25">
      <c r="A29" s="41"/>
      <c r="B29" s="530"/>
      <c r="C29" s="531"/>
      <c r="D29" s="531"/>
      <c r="E29" s="531"/>
      <c r="F29" s="532"/>
    </row>
    <row r="30" spans="1:6" ht="15.75" customHeight="1" x14ac:dyDescent="0.25">
      <c r="A30" s="41"/>
      <c r="B30" s="530"/>
      <c r="C30" s="531"/>
      <c r="D30" s="531"/>
      <c r="E30" s="531"/>
      <c r="F30" s="532"/>
    </row>
    <row r="31" spans="1:6" ht="142.5" customHeight="1" x14ac:dyDescent="0.25">
      <c r="A31" s="41"/>
      <c r="B31" s="533"/>
      <c r="C31" s="534"/>
      <c r="D31" s="534"/>
      <c r="E31" s="534"/>
      <c r="F31" s="535"/>
    </row>
    <row r="32" spans="1:6" hidden="1" x14ac:dyDescent="0.25">
      <c r="A32" s="41"/>
      <c r="B32" s="5" t="s">
        <v>127</v>
      </c>
      <c r="C32" s="5"/>
      <c r="D32" s="100">
        <f>SUM(D16:D31)</f>
        <v>2933025</v>
      </c>
      <c r="E32" s="100">
        <f>SUM(E16:E31)</f>
        <v>2906593.27</v>
      </c>
      <c r="F32" s="6">
        <f>+D32-E32</f>
        <v>26431.729999999981</v>
      </c>
    </row>
    <row r="33" spans="1:6" ht="31.5" x14ac:dyDescent="0.25">
      <c r="A33" s="41"/>
      <c r="B33" s="153" t="s">
        <v>317</v>
      </c>
      <c r="C33" s="3"/>
      <c r="D33" s="100">
        <v>3089201</v>
      </c>
      <c r="E33" s="100">
        <v>2734584.97</v>
      </c>
      <c r="F33" s="6">
        <f>+D33-E33</f>
        <v>354616.0299999998</v>
      </c>
    </row>
    <row r="34" spans="1:6" ht="15.75" customHeight="1" x14ac:dyDescent="0.25">
      <c r="A34" s="41"/>
      <c r="B34" s="527" t="s">
        <v>388</v>
      </c>
      <c r="C34" s="528"/>
      <c r="D34" s="528"/>
      <c r="E34" s="528"/>
      <c r="F34" s="529"/>
    </row>
    <row r="35" spans="1:6" ht="31.5" customHeight="1" x14ac:dyDescent="0.25">
      <c r="A35" s="41"/>
      <c r="B35" s="530"/>
      <c r="C35" s="531"/>
      <c r="D35" s="531"/>
      <c r="E35" s="531"/>
      <c r="F35" s="532"/>
    </row>
    <row r="36" spans="1:6" ht="15.75" customHeight="1" x14ac:dyDescent="0.25">
      <c r="A36" s="41"/>
      <c r="B36" s="530"/>
      <c r="C36" s="531"/>
      <c r="D36" s="531"/>
      <c r="E36" s="531"/>
      <c r="F36" s="532"/>
    </row>
    <row r="37" spans="1:6" ht="15.75" customHeight="1" x14ac:dyDescent="0.25">
      <c r="A37" s="41"/>
      <c r="B37" s="530"/>
      <c r="C37" s="531"/>
      <c r="D37" s="531"/>
      <c r="E37" s="531"/>
      <c r="F37" s="532"/>
    </row>
    <row r="38" spans="1:6" ht="15.75" customHeight="1" x14ac:dyDescent="0.25">
      <c r="A38" s="41"/>
      <c r="B38" s="530"/>
      <c r="C38" s="531"/>
      <c r="D38" s="531"/>
      <c r="E38" s="531"/>
      <c r="F38" s="532"/>
    </row>
    <row r="39" spans="1:6" ht="31.5" customHeight="1" x14ac:dyDescent="0.25">
      <c r="A39" s="41"/>
      <c r="B39" s="530"/>
      <c r="C39" s="531"/>
      <c r="D39" s="531"/>
      <c r="E39" s="531"/>
      <c r="F39" s="532"/>
    </row>
    <row r="40" spans="1:6" ht="31.5" customHeight="1" x14ac:dyDescent="0.25">
      <c r="A40" s="41"/>
      <c r="B40" s="530"/>
      <c r="C40" s="531"/>
      <c r="D40" s="531"/>
      <c r="E40" s="531"/>
      <c r="F40" s="532"/>
    </row>
    <row r="41" spans="1:6" ht="31.5" customHeight="1" x14ac:dyDescent="0.25">
      <c r="A41" s="41"/>
      <c r="B41" s="530"/>
      <c r="C41" s="531"/>
      <c r="D41" s="531"/>
      <c r="E41" s="531"/>
      <c r="F41" s="532"/>
    </row>
    <row r="42" spans="1:6" ht="15.75" customHeight="1" x14ac:dyDescent="0.25">
      <c r="A42" s="41"/>
      <c r="B42" s="530"/>
      <c r="C42" s="531"/>
      <c r="D42" s="531"/>
      <c r="E42" s="531"/>
      <c r="F42" s="532"/>
    </row>
    <row r="43" spans="1:6" ht="18.75" customHeight="1" x14ac:dyDescent="0.25">
      <c r="A43" s="41"/>
      <c r="B43" s="530"/>
      <c r="C43" s="531"/>
      <c r="D43" s="531"/>
      <c r="E43" s="531"/>
      <c r="F43" s="532"/>
    </row>
    <row r="44" spans="1:6" ht="15.75" customHeight="1" x14ac:dyDescent="0.25">
      <c r="A44" s="41"/>
      <c r="B44" s="530"/>
      <c r="C44" s="531"/>
      <c r="D44" s="531"/>
      <c r="E44" s="531"/>
      <c r="F44" s="532"/>
    </row>
    <row r="45" spans="1:6" ht="15.75" customHeight="1" x14ac:dyDescent="0.25">
      <c r="A45" s="41"/>
      <c r="B45" s="530"/>
      <c r="C45" s="531"/>
      <c r="D45" s="531"/>
      <c r="E45" s="531"/>
      <c r="F45" s="532"/>
    </row>
    <row r="46" spans="1:6" ht="31.5" customHeight="1" x14ac:dyDescent="0.25">
      <c r="A46" s="41"/>
      <c r="B46" s="530"/>
      <c r="C46" s="531"/>
      <c r="D46" s="531"/>
      <c r="E46" s="531"/>
      <c r="F46" s="532"/>
    </row>
    <row r="47" spans="1:6" ht="31.5" customHeight="1" x14ac:dyDescent="0.25">
      <c r="A47" s="41"/>
      <c r="B47" s="530"/>
      <c r="C47" s="531"/>
      <c r="D47" s="531"/>
      <c r="E47" s="531"/>
      <c r="F47" s="532"/>
    </row>
    <row r="48" spans="1:6" ht="31.5" customHeight="1" x14ac:dyDescent="0.25">
      <c r="A48" s="41"/>
      <c r="B48" s="530"/>
      <c r="C48" s="531"/>
      <c r="D48" s="531"/>
      <c r="E48" s="531"/>
      <c r="F48" s="532"/>
    </row>
    <row r="49" spans="1:6" ht="31.5" customHeight="1" x14ac:dyDescent="0.25">
      <c r="A49" s="41"/>
      <c r="B49" s="530"/>
      <c r="C49" s="531"/>
      <c r="D49" s="531"/>
      <c r="E49" s="531"/>
      <c r="F49" s="532"/>
    </row>
    <row r="50" spans="1:6" ht="31.5" customHeight="1" x14ac:dyDescent="0.25">
      <c r="A50" s="41"/>
      <c r="B50" s="530"/>
      <c r="C50" s="531"/>
      <c r="D50" s="531"/>
      <c r="E50" s="531"/>
      <c r="F50" s="532"/>
    </row>
    <row r="51" spans="1:6" ht="31.5" customHeight="1" x14ac:dyDescent="0.25">
      <c r="A51" s="41"/>
      <c r="B51" s="530"/>
      <c r="C51" s="531"/>
      <c r="D51" s="531"/>
      <c r="E51" s="531"/>
      <c r="F51" s="532"/>
    </row>
    <row r="52" spans="1:6" ht="31.5" customHeight="1" x14ac:dyDescent="0.25">
      <c r="A52" s="41"/>
      <c r="B52" s="530"/>
      <c r="C52" s="531"/>
      <c r="D52" s="531"/>
      <c r="E52" s="531"/>
      <c r="F52" s="532"/>
    </row>
    <row r="53" spans="1:6" ht="31.5" customHeight="1" x14ac:dyDescent="0.25">
      <c r="A53" s="41"/>
      <c r="B53" s="530"/>
      <c r="C53" s="531"/>
      <c r="D53" s="531"/>
      <c r="E53" s="531"/>
      <c r="F53" s="532"/>
    </row>
    <row r="54" spans="1:6" ht="31.5" customHeight="1" x14ac:dyDescent="0.25">
      <c r="A54" s="41"/>
      <c r="B54" s="533"/>
      <c r="C54" s="534"/>
      <c r="D54" s="534"/>
      <c r="E54" s="534"/>
      <c r="F54" s="535"/>
    </row>
    <row r="55" spans="1:6" hidden="1" x14ac:dyDescent="0.25">
      <c r="A55" s="41"/>
      <c r="B55" s="5" t="s">
        <v>130</v>
      </c>
      <c r="C55" s="5"/>
      <c r="D55" s="100">
        <f>SUM(D33:D54)</f>
        <v>3089201</v>
      </c>
      <c r="E55" s="100">
        <f>SUM(E33:E54)</f>
        <v>2734584.97</v>
      </c>
      <c r="F55" s="6">
        <f>D55-E55</f>
        <v>354616.0299999998</v>
      </c>
    </row>
    <row r="56" spans="1:6" x14ac:dyDescent="0.25">
      <c r="A56" s="41"/>
      <c r="B56" s="153" t="s">
        <v>175</v>
      </c>
      <c r="C56" s="5"/>
      <c r="D56" s="100"/>
      <c r="E56" s="100"/>
      <c r="F56" s="6"/>
    </row>
    <row r="57" spans="1:6" x14ac:dyDescent="0.25">
      <c r="A57" s="41"/>
      <c r="B57" s="3" t="s">
        <v>100</v>
      </c>
      <c r="C57" s="3"/>
      <c r="D57" s="31">
        <v>132000</v>
      </c>
      <c r="E57" s="6">
        <v>41880</v>
      </c>
      <c r="F57" s="6">
        <f>+D57-E57</f>
        <v>90120</v>
      </c>
    </row>
    <row r="58" spans="1:6" ht="31.5" hidden="1" x14ac:dyDescent="0.25">
      <c r="A58" s="41"/>
      <c r="B58" s="3" t="s">
        <v>131</v>
      </c>
      <c r="C58" s="3"/>
      <c r="D58" s="31"/>
      <c r="E58" s="6"/>
      <c r="F58" s="6">
        <f t="shared" ref="F58:F59" si="1">+D58-E58</f>
        <v>0</v>
      </c>
    </row>
    <row r="59" spans="1:6" x14ac:dyDescent="0.25">
      <c r="A59" s="41"/>
      <c r="B59" s="3" t="s">
        <v>101</v>
      </c>
      <c r="C59" s="3"/>
      <c r="D59" s="31">
        <v>100</v>
      </c>
      <c r="E59" s="6"/>
      <c r="F59" s="6">
        <f t="shared" si="1"/>
        <v>100</v>
      </c>
    </row>
    <row r="60" spans="1:6" x14ac:dyDescent="0.25">
      <c r="A60" s="41"/>
      <c r="B60" s="5" t="s">
        <v>177</v>
      </c>
      <c r="C60" s="5"/>
      <c r="D60" s="100">
        <f>D57+D58+D56+D59</f>
        <v>132100</v>
      </c>
      <c r="E60" s="100">
        <f>E57+E58</f>
        <v>41880</v>
      </c>
      <c r="F60" s="6">
        <f>D60-E60</f>
        <v>90220</v>
      </c>
    </row>
    <row r="61" spans="1:6" hidden="1" x14ac:dyDescent="0.25">
      <c r="A61" s="41"/>
      <c r="B61" s="197" t="s">
        <v>132</v>
      </c>
      <c r="C61" s="197"/>
      <c r="D61" s="198">
        <f>D14+D15+D32+D55+D60</f>
        <v>8123326</v>
      </c>
      <c r="E61" s="198">
        <f>E14+E15+E32+E55+E60</f>
        <v>7186318.75</v>
      </c>
      <c r="F61" s="6">
        <f t="shared" ref="F61:F68" si="2">D61-E61</f>
        <v>937007.25</v>
      </c>
    </row>
    <row r="62" spans="1:6" hidden="1" x14ac:dyDescent="0.25">
      <c r="A62" s="41"/>
      <c r="B62" s="236" t="s">
        <v>181</v>
      </c>
      <c r="C62" s="197"/>
      <c r="D62" s="198"/>
      <c r="E62" s="198"/>
      <c r="F62" s="6">
        <f t="shared" si="2"/>
        <v>0</v>
      </c>
    </row>
    <row r="63" spans="1:6" ht="31.5" hidden="1" x14ac:dyDescent="0.25">
      <c r="A63" s="41"/>
      <c r="B63" s="3" t="s">
        <v>88</v>
      </c>
      <c r="C63" s="3"/>
      <c r="D63" s="6">
        <v>291810</v>
      </c>
      <c r="E63" s="6">
        <v>159570.79</v>
      </c>
      <c r="F63" s="6">
        <f t="shared" si="2"/>
        <v>132239.21</v>
      </c>
    </row>
    <row r="64" spans="1:6" hidden="1" x14ac:dyDescent="0.25">
      <c r="A64" s="41"/>
      <c r="B64" s="3" t="s">
        <v>89</v>
      </c>
      <c r="C64" s="3"/>
      <c r="D64" s="6">
        <v>1084640</v>
      </c>
      <c r="E64" s="6">
        <v>548823.69999999995</v>
      </c>
      <c r="F64" s="6">
        <f t="shared" si="2"/>
        <v>535816.30000000005</v>
      </c>
    </row>
    <row r="65" spans="1:6" hidden="1" x14ac:dyDescent="0.25">
      <c r="A65" s="41"/>
      <c r="B65" s="3" t="s">
        <v>47</v>
      </c>
      <c r="C65" s="3"/>
      <c r="D65" s="6">
        <v>3011741</v>
      </c>
      <c r="E65" s="6">
        <v>291819.84000000003</v>
      </c>
      <c r="F65" s="6">
        <f t="shared" si="2"/>
        <v>2719921.16</v>
      </c>
    </row>
    <row r="66" spans="1:6" hidden="1" x14ac:dyDescent="0.25">
      <c r="A66" s="41"/>
      <c r="B66" s="22" t="s">
        <v>90</v>
      </c>
      <c r="C66" s="3"/>
      <c r="D66" s="31">
        <v>1933020</v>
      </c>
      <c r="E66" s="6">
        <v>1863891</v>
      </c>
      <c r="F66" s="6">
        <f t="shared" si="2"/>
        <v>69129</v>
      </c>
    </row>
    <row r="67" spans="1:6" hidden="1" x14ac:dyDescent="0.25">
      <c r="A67" s="41"/>
      <c r="B67" s="126" t="s">
        <v>112</v>
      </c>
      <c r="C67" s="5"/>
      <c r="D67" s="35">
        <f>D63+D64+D65+D66</f>
        <v>6321211</v>
      </c>
      <c r="E67" s="35">
        <f>E63+E64+E65+E66</f>
        <v>2864105.33</v>
      </c>
      <c r="F67" s="6">
        <f t="shared" si="2"/>
        <v>3457105.67</v>
      </c>
    </row>
    <row r="68" spans="1:6" x14ac:dyDescent="0.25">
      <c r="A68" s="41"/>
      <c r="B68" s="126" t="s">
        <v>133</v>
      </c>
      <c r="C68" s="5"/>
      <c r="D68" s="35">
        <v>15000</v>
      </c>
      <c r="E68" s="35"/>
      <c r="F68" s="6">
        <f t="shared" si="2"/>
        <v>15000</v>
      </c>
    </row>
    <row r="69" spans="1:6" x14ac:dyDescent="0.25">
      <c r="A69" s="245"/>
      <c r="B69" s="242" t="s">
        <v>176</v>
      </c>
      <c r="C69" s="241"/>
      <c r="D69" s="243">
        <f>D61+D68</f>
        <v>8138326</v>
      </c>
      <c r="E69" s="243">
        <f t="shared" ref="E69" si="3">E61+E68</f>
        <v>7186318.75</v>
      </c>
      <c r="F69" s="243">
        <f>+D69-E69</f>
        <v>952007.25</v>
      </c>
    </row>
    <row r="70" spans="1:6" s="431" customFormat="1" x14ac:dyDescent="0.25">
      <c r="A70" s="432">
        <v>111021</v>
      </c>
      <c r="B70" s="433" t="s">
        <v>178</v>
      </c>
      <c r="C70" s="434"/>
      <c r="D70" s="435"/>
      <c r="E70" s="435"/>
      <c r="F70" s="435"/>
    </row>
    <row r="71" spans="1:6" hidden="1" x14ac:dyDescent="0.25">
      <c r="A71" s="41">
        <v>111021</v>
      </c>
      <c r="B71" s="14" t="s">
        <v>15</v>
      </c>
      <c r="C71" s="3"/>
      <c r="D71" s="31">
        <f>3270752+2897000+2163778+2328237+3078150</f>
        <v>13737917</v>
      </c>
      <c r="E71" s="32">
        <v>10336806.109999999</v>
      </c>
      <c r="F71" s="6">
        <f>D71-E71</f>
        <v>3401110.8900000006</v>
      </c>
    </row>
    <row r="72" spans="1:6" hidden="1" x14ac:dyDescent="0.25">
      <c r="A72" s="41"/>
      <c r="B72" s="22" t="s">
        <v>71</v>
      </c>
      <c r="C72" s="3"/>
      <c r="D72" s="31">
        <f>719550+637280+476080+512223+677200</f>
        <v>3022333</v>
      </c>
      <c r="E72" s="32">
        <v>2284487.14</v>
      </c>
      <c r="F72" s="6">
        <f>D72-E72</f>
        <v>737845.85999999987</v>
      </c>
    </row>
    <row r="73" spans="1:6" hidden="1" x14ac:dyDescent="0.25">
      <c r="A73" s="41"/>
      <c r="B73" s="126" t="s">
        <v>111</v>
      </c>
      <c r="C73" s="3"/>
      <c r="D73" s="35">
        <f>D71+D72</f>
        <v>16760250</v>
      </c>
      <c r="E73" s="35">
        <f>E71+E72</f>
        <v>12621293.25</v>
      </c>
      <c r="F73" s="35">
        <f>F71+F72</f>
        <v>4138956.7500000005</v>
      </c>
    </row>
    <row r="74" spans="1:6" hidden="1" x14ac:dyDescent="0.25">
      <c r="A74" s="41">
        <v>111031</v>
      </c>
      <c r="B74" s="22" t="s">
        <v>15</v>
      </c>
      <c r="C74" s="14"/>
      <c r="D74" s="31">
        <v>38562869</v>
      </c>
      <c r="E74" s="32">
        <v>38120342.700000003</v>
      </c>
      <c r="F74" s="6">
        <f>D74-E74</f>
        <v>442526.29999999702</v>
      </c>
    </row>
    <row r="75" spans="1:6" hidden="1" x14ac:dyDescent="0.25">
      <c r="A75" s="41"/>
      <c r="B75" s="3" t="s">
        <v>71</v>
      </c>
      <c r="C75" s="14"/>
      <c r="D75" s="31">
        <v>8483831</v>
      </c>
      <c r="E75" s="31">
        <v>7960425.7300000004</v>
      </c>
      <c r="F75" s="6">
        <f t="shared" ref="F75" si="4">D75-E75</f>
        <v>523405.26999999955</v>
      </c>
    </row>
    <row r="76" spans="1:6" hidden="1" x14ac:dyDescent="0.25">
      <c r="A76" s="41"/>
      <c r="B76" s="5" t="s">
        <v>111</v>
      </c>
      <c r="C76" s="14"/>
      <c r="D76" s="35">
        <f>D74+D75</f>
        <v>47046700</v>
      </c>
      <c r="E76" s="35">
        <f t="shared" ref="E76:F76" si="5">E74+E75</f>
        <v>46080768.430000007</v>
      </c>
      <c r="F76" s="35">
        <f t="shared" si="5"/>
        <v>965931.56999999657</v>
      </c>
    </row>
    <row r="77" spans="1:6" hidden="1" x14ac:dyDescent="0.25">
      <c r="A77" s="41">
        <v>111200</v>
      </c>
      <c r="B77" s="3" t="s">
        <v>15</v>
      </c>
      <c r="C77" s="14"/>
      <c r="D77" s="31">
        <v>102747</v>
      </c>
      <c r="E77" s="31">
        <v>42888.94</v>
      </c>
      <c r="F77" s="35"/>
    </row>
    <row r="78" spans="1:6" hidden="1" x14ac:dyDescent="0.25">
      <c r="A78" s="41"/>
      <c r="B78" s="3" t="s">
        <v>71</v>
      </c>
      <c r="C78" s="14"/>
      <c r="D78" s="31">
        <v>22607</v>
      </c>
      <c r="E78" s="31">
        <v>9435.83</v>
      </c>
      <c r="F78" s="35"/>
    </row>
    <row r="79" spans="1:6" hidden="1" x14ac:dyDescent="0.25">
      <c r="A79" s="41"/>
      <c r="B79" s="5" t="s">
        <v>111</v>
      </c>
      <c r="C79" s="127"/>
      <c r="D79" s="35">
        <f>D77+D78</f>
        <v>125354</v>
      </c>
      <c r="E79" s="35">
        <f>E77+E78</f>
        <v>52324.770000000004</v>
      </c>
      <c r="F79" s="35"/>
    </row>
    <row r="80" spans="1:6" hidden="1" x14ac:dyDescent="0.25">
      <c r="A80" s="41"/>
      <c r="B80" s="114" t="s">
        <v>181</v>
      </c>
      <c r="C80" s="14"/>
      <c r="D80" s="35"/>
      <c r="E80" s="35"/>
      <c r="F80" s="35"/>
    </row>
    <row r="81" spans="1:6" hidden="1" x14ac:dyDescent="0.25">
      <c r="A81" s="41"/>
      <c r="B81" s="3" t="s">
        <v>182</v>
      </c>
      <c r="C81" s="14"/>
      <c r="D81" s="31">
        <v>76970</v>
      </c>
      <c r="E81" s="31">
        <v>72385.41</v>
      </c>
      <c r="F81" s="35">
        <f>D81-E81</f>
        <v>4584.5899999999965</v>
      </c>
    </row>
    <row r="82" spans="1:6" hidden="1" x14ac:dyDescent="0.25">
      <c r="A82" s="41"/>
      <c r="B82" s="3" t="s">
        <v>89</v>
      </c>
      <c r="C82" s="14"/>
      <c r="D82" s="31">
        <v>1037980</v>
      </c>
      <c r="E82" s="31">
        <v>587093.37</v>
      </c>
      <c r="F82" s="35">
        <f t="shared" ref="F82:F83" si="6">D82-E82</f>
        <v>450886.63</v>
      </c>
    </row>
    <row r="83" spans="1:6" hidden="1" x14ac:dyDescent="0.25">
      <c r="A83" s="41"/>
      <c r="B83" s="3" t="s">
        <v>47</v>
      </c>
      <c r="C83" s="14"/>
      <c r="D83" s="31">
        <v>3695567</v>
      </c>
      <c r="E83" s="31">
        <v>1539052.31</v>
      </c>
      <c r="F83" s="35">
        <f t="shared" si="6"/>
        <v>2156514.69</v>
      </c>
    </row>
    <row r="84" spans="1:6" hidden="1" x14ac:dyDescent="0.25">
      <c r="A84" s="41"/>
      <c r="B84" s="22" t="s">
        <v>90</v>
      </c>
      <c r="C84" s="14"/>
      <c r="D84" s="31">
        <v>1746425.73</v>
      </c>
      <c r="E84" s="31">
        <v>982015</v>
      </c>
      <c r="F84" s="35"/>
    </row>
    <row r="85" spans="1:6" hidden="1" x14ac:dyDescent="0.25">
      <c r="A85" s="41"/>
      <c r="B85" s="3" t="s">
        <v>103</v>
      </c>
      <c r="C85" s="14"/>
      <c r="D85" s="35"/>
      <c r="E85" s="31">
        <v>65856.97</v>
      </c>
      <c r="F85" s="35"/>
    </row>
    <row r="86" spans="1:6" hidden="1" x14ac:dyDescent="0.25">
      <c r="A86" s="41"/>
      <c r="B86" s="14" t="s">
        <v>116</v>
      </c>
      <c r="C86" s="14"/>
      <c r="D86" s="35"/>
      <c r="E86" s="31">
        <v>42052.3</v>
      </c>
      <c r="F86" s="35">
        <f>D84-E84-E85-E86</f>
        <v>656501.46</v>
      </c>
    </row>
    <row r="87" spans="1:6" hidden="1" x14ac:dyDescent="0.25">
      <c r="A87" s="41"/>
      <c r="B87" s="127" t="s">
        <v>112</v>
      </c>
      <c r="C87" s="127"/>
      <c r="D87" s="35">
        <f>SUM(D81:D86)</f>
        <v>6556942.7300000004</v>
      </c>
      <c r="E87" s="35">
        <f>SUM(E81:E86)</f>
        <v>3288455.36</v>
      </c>
      <c r="F87" s="35">
        <f>SUM(F81:F86)</f>
        <v>3268487.37</v>
      </c>
    </row>
    <row r="88" spans="1:6" x14ac:dyDescent="0.25">
      <c r="A88" s="41"/>
      <c r="B88" s="430" t="s">
        <v>93</v>
      </c>
      <c r="C88" s="14"/>
      <c r="D88" s="35">
        <v>41790</v>
      </c>
      <c r="E88" s="35">
        <v>26166.38</v>
      </c>
      <c r="F88" s="35">
        <f>+D88-E88</f>
        <v>15623.619999999999</v>
      </c>
    </row>
    <row r="89" spans="1:6" x14ac:dyDescent="0.25">
      <c r="A89" s="41"/>
      <c r="B89" s="153" t="s">
        <v>183</v>
      </c>
      <c r="C89" s="14"/>
      <c r="D89" s="35">
        <v>3185380</v>
      </c>
      <c r="E89" s="35">
        <v>2729815.52</v>
      </c>
      <c r="F89" s="35">
        <f>+D89-E89</f>
        <v>455564.48</v>
      </c>
    </row>
    <row r="90" spans="1:6" ht="15.75" customHeight="1" x14ac:dyDescent="0.25">
      <c r="A90" s="41"/>
      <c r="B90" s="554" t="s">
        <v>389</v>
      </c>
      <c r="C90" s="555"/>
      <c r="D90" s="555"/>
      <c r="E90" s="555"/>
      <c r="F90" s="556"/>
    </row>
    <row r="91" spans="1:6" ht="15.75" customHeight="1" x14ac:dyDescent="0.25">
      <c r="A91" s="41"/>
      <c r="B91" s="557"/>
      <c r="C91" s="558"/>
      <c r="D91" s="558"/>
      <c r="E91" s="558"/>
      <c r="F91" s="559"/>
    </row>
    <row r="92" spans="1:6" ht="15.75" customHeight="1" x14ac:dyDescent="0.25">
      <c r="A92" s="41"/>
      <c r="B92" s="557"/>
      <c r="C92" s="558"/>
      <c r="D92" s="558"/>
      <c r="E92" s="558"/>
      <c r="F92" s="559"/>
    </row>
    <row r="93" spans="1:6" ht="15.75" customHeight="1" x14ac:dyDescent="0.25">
      <c r="A93" s="41"/>
      <c r="B93" s="557"/>
      <c r="C93" s="558"/>
      <c r="D93" s="558"/>
      <c r="E93" s="558"/>
      <c r="F93" s="559"/>
    </row>
    <row r="94" spans="1:6" ht="15.75" customHeight="1" x14ac:dyDescent="0.25">
      <c r="A94" s="41"/>
      <c r="B94" s="557"/>
      <c r="C94" s="558"/>
      <c r="D94" s="558"/>
      <c r="E94" s="558"/>
      <c r="F94" s="559"/>
    </row>
    <row r="95" spans="1:6" ht="15.75" customHeight="1" x14ac:dyDescent="0.25">
      <c r="A95" s="41"/>
      <c r="B95" s="557"/>
      <c r="C95" s="558"/>
      <c r="D95" s="558"/>
      <c r="E95" s="558"/>
      <c r="F95" s="559"/>
    </row>
    <row r="96" spans="1:6" ht="47.25" customHeight="1" x14ac:dyDescent="0.25">
      <c r="A96" s="41"/>
      <c r="B96" s="557"/>
      <c r="C96" s="558"/>
      <c r="D96" s="558"/>
      <c r="E96" s="558"/>
      <c r="F96" s="559"/>
    </row>
    <row r="97" spans="1:6" ht="31.5" customHeight="1" x14ac:dyDescent="0.25">
      <c r="A97" s="41"/>
      <c r="B97" s="557"/>
      <c r="C97" s="558"/>
      <c r="D97" s="558"/>
      <c r="E97" s="558"/>
      <c r="F97" s="559"/>
    </row>
    <row r="98" spans="1:6" ht="15.75" customHeight="1" x14ac:dyDescent="0.25">
      <c r="A98" s="41"/>
      <c r="B98" s="557"/>
      <c r="C98" s="558"/>
      <c r="D98" s="558"/>
      <c r="E98" s="558"/>
      <c r="F98" s="559"/>
    </row>
    <row r="99" spans="1:6" ht="15.75" customHeight="1" x14ac:dyDescent="0.25">
      <c r="A99" s="41"/>
      <c r="B99" s="557"/>
      <c r="C99" s="558"/>
      <c r="D99" s="558"/>
      <c r="E99" s="558"/>
      <c r="F99" s="559"/>
    </row>
    <row r="100" spans="1:6" ht="342.75" customHeight="1" x14ac:dyDescent="0.25">
      <c r="A100" s="41"/>
      <c r="B100" s="560"/>
      <c r="C100" s="561"/>
      <c r="D100" s="561"/>
      <c r="E100" s="561"/>
      <c r="F100" s="562"/>
    </row>
    <row r="101" spans="1:6" ht="31.5" x14ac:dyDescent="0.25">
      <c r="A101" s="41"/>
      <c r="B101" s="153" t="s">
        <v>317</v>
      </c>
      <c r="C101" s="14"/>
      <c r="D101" s="35">
        <v>3104477.17</v>
      </c>
      <c r="E101" s="35">
        <v>2527264.48</v>
      </c>
      <c r="F101" s="35">
        <f>+D101-E101</f>
        <v>577212.68999999994</v>
      </c>
    </row>
    <row r="102" spans="1:6" ht="15.75" customHeight="1" x14ac:dyDescent="0.25">
      <c r="A102" s="41"/>
      <c r="B102" s="563" t="s">
        <v>390</v>
      </c>
      <c r="C102" s="564"/>
      <c r="D102" s="564"/>
      <c r="E102" s="564"/>
      <c r="F102" s="565"/>
    </row>
    <row r="103" spans="1:6" ht="31.5" customHeight="1" x14ac:dyDescent="0.25">
      <c r="A103" s="41"/>
      <c r="B103" s="566"/>
      <c r="C103" s="567"/>
      <c r="D103" s="567"/>
      <c r="E103" s="567"/>
      <c r="F103" s="568"/>
    </row>
    <row r="104" spans="1:6" ht="15.75" customHeight="1" x14ac:dyDescent="0.25">
      <c r="A104" s="41"/>
      <c r="B104" s="566"/>
      <c r="C104" s="567"/>
      <c r="D104" s="567"/>
      <c r="E104" s="567"/>
      <c r="F104" s="568"/>
    </row>
    <row r="105" spans="1:6" ht="15.75" customHeight="1" x14ac:dyDescent="0.25">
      <c r="A105" s="41"/>
      <c r="B105" s="566"/>
      <c r="C105" s="567"/>
      <c r="D105" s="567"/>
      <c r="E105" s="567"/>
      <c r="F105" s="568"/>
    </row>
    <row r="106" spans="1:6" ht="31.5" customHeight="1" x14ac:dyDescent="0.25">
      <c r="A106" s="41"/>
      <c r="B106" s="566"/>
      <c r="C106" s="567"/>
      <c r="D106" s="567"/>
      <c r="E106" s="567"/>
      <c r="F106" s="568"/>
    </row>
    <row r="107" spans="1:6" ht="15.75" customHeight="1" x14ac:dyDescent="0.25">
      <c r="A107" s="41"/>
      <c r="B107" s="566"/>
      <c r="C107" s="567"/>
      <c r="D107" s="567"/>
      <c r="E107" s="567"/>
      <c r="F107" s="568"/>
    </row>
    <row r="108" spans="1:6" ht="15.75" customHeight="1" x14ac:dyDescent="0.25">
      <c r="A108" s="41"/>
      <c r="B108" s="566"/>
      <c r="C108" s="567"/>
      <c r="D108" s="567"/>
      <c r="E108" s="567"/>
      <c r="F108" s="568"/>
    </row>
    <row r="109" spans="1:6" ht="15.75" customHeight="1" x14ac:dyDescent="0.25">
      <c r="A109" s="41"/>
      <c r="B109" s="566"/>
      <c r="C109" s="567"/>
      <c r="D109" s="567"/>
      <c r="E109" s="567"/>
      <c r="F109" s="568"/>
    </row>
    <row r="110" spans="1:6" ht="15.75" customHeight="1" x14ac:dyDescent="0.25">
      <c r="A110" s="41"/>
      <c r="B110" s="566"/>
      <c r="C110" s="567"/>
      <c r="D110" s="567"/>
      <c r="E110" s="567"/>
      <c r="F110" s="568"/>
    </row>
    <row r="111" spans="1:6" ht="15.75" customHeight="1" x14ac:dyDescent="0.25">
      <c r="A111" s="41"/>
      <c r="B111" s="566"/>
      <c r="C111" s="567"/>
      <c r="D111" s="567"/>
      <c r="E111" s="567"/>
      <c r="F111" s="568"/>
    </row>
    <row r="112" spans="1:6" ht="31.5" customHeight="1" x14ac:dyDescent="0.25">
      <c r="A112" s="41"/>
      <c r="B112" s="566"/>
      <c r="C112" s="567"/>
      <c r="D112" s="567"/>
      <c r="E112" s="567"/>
      <c r="F112" s="568"/>
    </row>
    <row r="113" spans="1:6" ht="31.5" customHeight="1" x14ac:dyDescent="0.25">
      <c r="A113" s="41"/>
      <c r="B113" s="566"/>
      <c r="C113" s="567"/>
      <c r="D113" s="567"/>
      <c r="E113" s="567"/>
      <c r="F113" s="568"/>
    </row>
    <row r="114" spans="1:6" ht="47.25" customHeight="1" x14ac:dyDescent="0.25">
      <c r="A114" s="41"/>
      <c r="B114" s="566"/>
      <c r="C114" s="567"/>
      <c r="D114" s="567"/>
      <c r="E114" s="567"/>
      <c r="F114" s="568"/>
    </row>
    <row r="115" spans="1:6" ht="16.5" customHeight="1" x14ac:dyDescent="0.25">
      <c r="A115" s="41"/>
      <c r="B115" s="566"/>
      <c r="C115" s="567"/>
      <c r="D115" s="567"/>
      <c r="E115" s="567"/>
      <c r="F115" s="568"/>
    </row>
    <row r="116" spans="1:6" ht="15" x14ac:dyDescent="0.25">
      <c r="A116" s="41"/>
      <c r="B116" s="566"/>
      <c r="C116" s="567"/>
      <c r="D116" s="567"/>
      <c r="E116" s="567"/>
      <c r="F116" s="568"/>
    </row>
    <row r="117" spans="1:6" ht="31.5" customHeight="1" x14ac:dyDescent="0.25">
      <c r="A117" s="41"/>
      <c r="B117" s="566"/>
      <c r="C117" s="567"/>
      <c r="D117" s="567"/>
      <c r="E117" s="567"/>
      <c r="F117" s="568"/>
    </row>
    <row r="118" spans="1:6" ht="31.5" customHeight="1" x14ac:dyDescent="0.25">
      <c r="A118" s="41"/>
      <c r="B118" s="566"/>
      <c r="C118" s="567"/>
      <c r="D118" s="567"/>
      <c r="E118" s="567"/>
      <c r="F118" s="568"/>
    </row>
    <row r="119" spans="1:6" ht="31.5" customHeight="1" x14ac:dyDescent="0.25">
      <c r="A119" s="41"/>
      <c r="B119" s="566"/>
      <c r="C119" s="567"/>
      <c r="D119" s="567"/>
      <c r="E119" s="567"/>
      <c r="F119" s="568"/>
    </row>
    <row r="120" spans="1:6" ht="34.5" customHeight="1" x14ac:dyDescent="0.25">
      <c r="A120" s="41"/>
      <c r="B120" s="566"/>
      <c r="C120" s="567"/>
      <c r="D120" s="567"/>
      <c r="E120" s="567"/>
      <c r="F120" s="568"/>
    </row>
    <row r="121" spans="1:6" ht="31.5" customHeight="1" x14ac:dyDescent="0.25">
      <c r="A121" s="41"/>
      <c r="B121" s="566"/>
      <c r="C121" s="567"/>
      <c r="D121" s="567"/>
      <c r="E121" s="567"/>
      <c r="F121" s="568"/>
    </row>
    <row r="122" spans="1:6" ht="226.5" customHeight="1" x14ac:dyDescent="0.25">
      <c r="A122" s="41"/>
      <c r="B122" s="569"/>
      <c r="C122" s="570"/>
      <c r="D122" s="570"/>
      <c r="E122" s="570"/>
      <c r="F122" s="571"/>
    </row>
    <row r="123" spans="1:6" ht="47.25" x14ac:dyDescent="0.25">
      <c r="A123" s="41"/>
      <c r="B123" s="5" t="s">
        <v>184</v>
      </c>
      <c r="C123" s="127"/>
      <c r="D123" s="35">
        <v>89400</v>
      </c>
      <c r="E123" s="35">
        <v>58160.2</v>
      </c>
      <c r="F123" s="100">
        <f>+D123-E123</f>
        <v>31239.800000000003</v>
      </c>
    </row>
    <row r="124" spans="1:6" x14ac:dyDescent="0.25">
      <c r="A124" s="41"/>
      <c r="B124" s="5" t="s">
        <v>133</v>
      </c>
      <c r="C124" s="127"/>
      <c r="D124" s="35">
        <v>90000</v>
      </c>
      <c r="E124" s="35">
        <v>49621</v>
      </c>
      <c r="F124" s="100">
        <f>+D124-E124</f>
        <v>40379</v>
      </c>
    </row>
    <row r="125" spans="1:6" x14ac:dyDescent="0.25">
      <c r="A125" s="240"/>
      <c r="B125" s="241" t="s">
        <v>185</v>
      </c>
      <c r="C125" s="242"/>
      <c r="D125" s="243">
        <f>+D88+D89+D101+D123+D124</f>
        <v>6511047.1699999999</v>
      </c>
      <c r="E125" s="243">
        <f>+E88+E89+E101+E123+E124</f>
        <v>5391027.5800000001</v>
      </c>
      <c r="F125" s="244">
        <f>+D125-E125</f>
        <v>1120019.5899999999</v>
      </c>
    </row>
    <row r="126" spans="1:6" x14ac:dyDescent="0.25">
      <c r="A126" s="41">
        <v>111142</v>
      </c>
      <c r="B126" s="68" t="s">
        <v>180</v>
      </c>
      <c r="C126" s="14"/>
      <c r="D126" s="35">
        <v>218000</v>
      </c>
      <c r="E126" s="35">
        <v>212900</v>
      </c>
      <c r="F126" s="32">
        <f>+D126-E126</f>
        <v>5100</v>
      </c>
    </row>
    <row r="127" spans="1:6" ht="69.75" customHeight="1" x14ac:dyDescent="0.25">
      <c r="A127" s="85"/>
      <c r="B127" s="572" t="s">
        <v>391</v>
      </c>
      <c r="C127" s="572"/>
      <c r="D127" s="572"/>
      <c r="E127" s="572"/>
      <c r="F127" s="572"/>
    </row>
    <row r="128" spans="1:6" ht="19.5" customHeight="1" x14ac:dyDescent="0.25">
      <c r="A128" s="238"/>
      <c r="B128" s="238" t="s">
        <v>173</v>
      </c>
      <c r="C128" s="238"/>
      <c r="D128" s="239">
        <f>D69+D125+D126</f>
        <v>14867373.17</v>
      </c>
      <c r="E128" s="239">
        <f>E69+E125+E126</f>
        <v>12790246.33</v>
      </c>
      <c r="F128" s="239">
        <f>F69+F125+F126</f>
        <v>2077126.8399999999</v>
      </c>
    </row>
    <row r="129" spans="1:6" x14ac:dyDescent="0.25">
      <c r="A129" s="552" t="s">
        <v>18</v>
      </c>
      <c r="B129" s="552"/>
      <c r="C129" s="552"/>
      <c r="D129" s="552"/>
      <c r="E129" s="552"/>
      <c r="F129" s="552"/>
    </row>
    <row r="130" spans="1:6" x14ac:dyDescent="0.25">
      <c r="A130" s="84">
        <v>111010</v>
      </c>
      <c r="B130" s="14" t="s">
        <v>97</v>
      </c>
      <c r="C130" s="14"/>
      <c r="D130" s="31">
        <v>89087.8</v>
      </c>
      <c r="E130" s="31">
        <v>42259.58</v>
      </c>
      <c r="F130" s="31">
        <f t="shared" ref="F130:F158" si="7">D130-E130</f>
        <v>46828.22</v>
      </c>
    </row>
    <row r="131" spans="1:6" x14ac:dyDescent="0.25">
      <c r="A131" s="84"/>
      <c r="B131" s="14" t="s">
        <v>98</v>
      </c>
      <c r="C131" s="14"/>
      <c r="D131" s="31">
        <v>333494.84999999998</v>
      </c>
      <c r="E131" s="31">
        <v>183502.6</v>
      </c>
      <c r="F131" s="31">
        <f t="shared" si="7"/>
        <v>149992.24999999997</v>
      </c>
    </row>
    <row r="132" spans="1:6" x14ac:dyDescent="0.25">
      <c r="A132" s="82"/>
      <c r="B132" s="22" t="s">
        <v>99</v>
      </c>
      <c r="C132" s="14"/>
      <c r="D132" s="31">
        <v>1463000</v>
      </c>
      <c r="E132" s="31">
        <v>1462714.36</v>
      </c>
      <c r="F132" s="31">
        <f t="shared" si="7"/>
        <v>285.63999999989755</v>
      </c>
    </row>
    <row r="133" spans="1:6" ht="18" customHeight="1" x14ac:dyDescent="0.25">
      <c r="A133" s="82"/>
      <c r="B133" s="22" t="s">
        <v>392</v>
      </c>
      <c r="C133" s="14"/>
      <c r="D133" s="31">
        <v>21000</v>
      </c>
      <c r="E133" s="31">
        <v>21000</v>
      </c>
      <c r="F133" s="31">
        <f t="shared" si="7"/>
        <v>0</v>
      </c>
    </row>
    <row r="134" spans="1:6" ht="47.25" x14ac:dyDescent="0.25">
      <c r="A134" s="82"/>
      <c r="B134" s="22" t="s">
        <v>393</v>
      </c>
      <c r="C134" s="14"/>
      <c r="D134" s="31">
        <v>99000</v>
      </c>
      <c r="E134" s="31">
        <v>99000</v>
      </c>
      <c r="F134" s="31">
        <f t="shared" si="7"/>
        <v>0</v>
      </c>
    </row>
    <row r="135" spans="1:6" ht="31.5" x14ac:dyDescent="0.25">
      <c r="A135" s="82"/>
      <c r="B135" s="22" t="s">
        <v>394</v>
      </c>
      <c r="C135" s="14"/>
      <c r="D135" s="31">
        <v>44252</v>
      </c>
      <c r="E135" s="31">
        <v>44251.98</v>
      </c>
      <c r="F135" s="31">
        <f t="shared" si="7"/>
        <v>1.9999999996798579E-2</v>
      </c>
    </row>
    <row r="136" spans="1:6" ht="31.5" x14ac:dyDescent="0.25">
      <c r="A136" s="82"/>
      <c r="B136" s="22" t="s">
        <v>395</v>
      </c>
      <c r="C136" s="14"/>
      <c r="D136" s="31">
        <v>999000</v>
      </c>
      <c r="E136" s="31">
        <v>999000</v>
      </c>
      <c r="F136" s="31">
        <f t="shared" si="7"/>
        <v>0</v>
      </c>
    </row>
    <row r="137" spans="1:6" x14ac:dyDescent="0.25">
      <c r="A137" s="82"/>
      <c r="B137" s="22" t="s">
        <v>396</v>
      </c>
      <c r="C137" s="14"/>
      <c r="D137" s="31">
        <v>325000</v>
      </c>
      <c r="E137" s="31">
        <v>325000</v>
      </c>
      <c r="F137" s="31">
        <f t="shared" si="7"/>
        <v>0</v>
      </c>
    </row>
    <row r="138" spans="1:6" ht="31.5" x14ac:dyDescent="0.25">
      <c r="A138" s="82"/>
      <c r="B138" s="22" t="s">
        <v>397</v>
      </c>
      <c r="C138" s="14"/>
      <c r="D138" s="31">
        <v>100000</v>
      </c>
      <c r="E138" s="31">
        <v>98600.8</v>
      </c>
      <c r="F138" s="31">
        <f t="shared" si="7"/>
        <v>1399.1999999999971</v>
      </c>
    </row>
    <row r="139" spans="1:6" x14ac:dyDescent="0.25">
      <c r="A139" s="82"/>
      <c r="B139" s="242" t="s">
        <v>176</v>
      </c>
      <c r="C139" s="14"/>
      <c r="D139" s="35">
        <f>SUM(D130:D138)</f>
        <v>3473834.65</v>
      </c>
      <c r="E139" s="35">
        <f>SUM(E130:E138)</f>
        <v>3275329.32</v>
      </c>
      <c r="F139" s="35">
        <f t="shared" si="7"/>
        <v>198505.33000000007</v>
      </c>
    </row>
    <row r="140" spans="1:6" x14ac:dyDescent="0.25">
      <c r="A140" s="82">
        <v>111021</v>
      </c>
      <c r="B140" s="22"/>
      <c r="C140" s="14"/>
      <c r="D140" s="31"/>
      <c r="E140" s="31"/>
      <c r="F140" s="31">
        <f t="shared" si="7"/>
        <v>0</v>
      </c>
    </row>
    <row r="141" spans="1:6" ht="31.5" x14ac:dyDescent="0.25">
      <c r="A141" s="82"/>
      <c r="B141" s="3" t="s">
        <v>398</v>
      </c>
      <c r="C141" s="14"/>
      <c r="D141" s="31">
        <v>69540</v>
      </c>
      <c r="E141" s="31">
        <v>69540</v>
      </c>
      <c r="F141" s="31">
        <f t="shared" si="7"/>
        <v>0</v>
      </c>
    </row>
    <row r="142" spans="1:6" x14ac:dyDescent="0.25">
      <c r="A142" s="82"/>
      <c r="B142" s="3" t="s">
        <v>399</v>
      </c>
      <c r="C142" s="14"/>
      <c r="D142" s="31">
        <v>24793</v>
      </c>
      <c r="E142" s="31">
        <v>24793</v>
      </c>
      <c r="F142" s="31">
        <f t="shared" si="7"/>
        <v>0</v>
      </c>
    </row>
    <row r="143" spans="1:6" ht="31.5" x14ac:dyDescent="0.25">
      <c r="A143" s="82"/>
      <c r="B143" s="3" t="s">
        <v>400</v>
      </c>
      <c r="C143" s="14"/>
      <c r="D143" s="31">
        <v>32790</v>
      </c>
      <c r="E143" s="31">
        <v>32790</v>
      </c>
      <c r="F143" s="31">
        <f t="shared" si="7"/>
        <v>0</v>
      </c>
    </row>
    <row r="144" spans="1:6" x14ac:dyDescent="0.25">
      <c r="A144" s="82"/>
      <c r="B144" s="3" t="s">
        <v>401</v>
      </c>
      <c r="C144" s="14"/>
      <c r="D144" s="31">
        <v>69892</v>
      </c>
      <c r="E144" s="31">
        <v>69892</v>
      </c>
      <c r="F144" s="31">
        <f t="shared" si="7"/>
        <v>0</v>
      </c>
    </row>
    <row r="145" spans="1:6" x14ac:dyDescent="0.25">
      <c r="A145" s="82"/>
      <c r="B145" s="3" t="s">
        <v>402</v>
      </c>
      <c r="C145" s="14"/>
      <c r="D145" s="31">
        <v>28338</v>
      </c>
      <c r="E145" s="31">
        <v>28338</v>
      </c>
      <c r="F145" s="31">
        <f t="shared" si="7"/>
        <v>0</v>
      </c>
    </row>
    <row r="146" spans="1:6" x14ac:dyDescent="0.25">
      <c r="A146" s="82"/>
      <c r="B146" s="3" t="s">
        <v>403</v>
      </c>
      <c r="C146" s="14"/>
      <c r="D146" s="31">
        <v>27467</v>
      </c>
      <c r="E146" s="31">
        <v>27467</v>
      </c>
      <c r="F146" s="31">
        <f t="shared" si="7"/>
        <v>0</v>
      </c>
    </row>
    <row r="147" spans="1:6" ht="15.75" customHeight="1" x14ac:dyDescent="0.25">
      <c r="A147" s="82"/>
      <c r="B147" s="3" t="s">
        <v>404</v>
      </c>
      <c r="C147" s="14"/>
      <c r="D147" s="31">
        <v>99960</v>
      </c>
      <c r="E147" s="31">
        <v>89979</v>
      </c>
      <c r="F147" s="31">
        <f t="shared" si="7"/>
        <v>9981</v>
      </c>
    </row>
    <row r="148" spans="1:6" ht="31.5" x14ac:dyDescent="0.25">
      <c r="A148" s="82"/>
      <c r="B148" s="3" t="s">
        <v>405</v>
      </c>
      <c r="C148" s="14"/>
      <c r="D148" s="31">
        <v>83040</v>
      </c>
      <c r="E148" s="31">
        <v>83040</v>
      </c>
      <c r="F148" s="31">
        <f t="shared" si="7"/>
        <v>0</v>
      </c>
    </row>
    <row r="149" spans="1:6" ht="63" x14ac:dyDescent="0.25">
      <c r="A149" s="82"/>
      <c r="B149" s="3" t="s">
        <v>406</v>
      </c>
      <c r="C149" s="14"/>
      <c r="D149" s="31">
        <v>37500</v>
      </c>
      <c r="E149" s="31">
        <v>37500</v>
      </c>
      <c r="F149" s="31">
        <f t="shared" si="7"/>
        <v>0</v>
      </c>
    </row>
    <row r="150" spans="1:6" ht="47.25" x14ac:dyDescent="0.25">
      <c r="A150" s="82"/>
      <c r="B150" s="3" t="s">
        <v>407</v>
      </c>
      <c r="C150" s="14"/>
      <c r="D150" s="31">
        <v>24000</v>
      </c>
      <c r="E150" s="31">
        <v>24000</v>
      </c>
      <c r="F150" s="31">
        <f t="shared" si="7"/>
        <v>0</v>
      </c>
    </row>
    <row r="151" spans="1:6" ht="34.5" customHeight="1" x14ac:dyDescent="0.25">
      <c r="A151" s="82"/>
      <c r="B151" s="3" t="s">
        <v>408</v>
      </c>
      <c r="C151" s="14"/>
      <c r="D151" s="31">
        <v>73600</v>
      </c>
      <c r="E151" s="31">
        <v>73557.070000000007</v>
      </c>
      <c r="F151" s="31">
        <f t="shared" si="7"/>
        <v>42.929999999993015</v>
      </c>
    </row>
    <row r="152" spans="1:6" ht="15.75" customHeight="1" x14ac:dyDescent="0.25">
      <c r="A152" s="82"/>
      <c r="B152" s="3" t="s">
        <v>409</v>
      </c>
      <c r="C152" s="14"/>
      <c r="D152" s="31">
        <v>36700</v>
      </c>
      <c r="E152" s="31">
        <v>36691.300000000003</v>
      </c>
      <c r="F152" s="31">
        <f t="shared" si="7"/>
        <v>8.6999999999970896</v>
      </c>
    </row>
    <row r="153" spans="1:6" ht="174" customHeight="1" x14ac:dyDescent="0.25">
      <c r="A153" s="82"/>
      <c r="B153" s="452" t="s">
        <v>431</v>
      </c>
      <c r="C153" s="14"/>
      <c r="D153" s="451">
        <v>25109</v>
      </c>
      <c r="E153" s="31">
        <v>25108.68</v>
      </c>
      <c r="F153" s="31">
        <f t="shared" si="7"/>
        <v>0.31999999999970896</v>
      </c>
    </row>
    <row r="154" spans="1:6" ht="60" customHeight="1" x14ac:dyDescent="0.25">
      <c r="A154" s="82"/>
      <c r="B154" s="452" t="s">
        <v>432</v>
      </c>
      <c r="C154" s="14"/>
      <c r="D154" s="31">
        <v>20000</v>
      </c>
      <c r="E154" s="31"/>
      <c r="F154" s="31">
        <f t="shared" si="7"/>
        <v>20000</v>
      </c>
    </row>
    <row r="155" spans="1:6" ht="42.75" customHeight="1" x14ac:dyDescent="0.25">
      <c r="A155" s="82"/>
      <c r="B155" s="452" t="s">
        <v>433</v>
      </c>
      <c r="C155" s="14"/>
      <c r="D155" s="31">
        <v>365992.55</v>
      </c>
      <c r="E155" s="31">
        <v>365992.55</v>
      </c>
      <c r="F155" s="31">
        <f t="shared" si="7"/>
        <v>0</v>
      </c>
    </row>
    <row r="156" spans="1:6" ht="72" customHeight="1" x14ac:dyDescent="0.25">
      <c r="A156" s="82"/>
      <c r="B156" s="452" t="s">
        <v>434</v>
      </c>
      <c r="C156" s="14"/>
      <c r="D156" s="31">
        <v>396400</v>
      </c>
      <c r="E156" s="31">
        <v>395923.13</v>
      </c>
      <c r="F156" s="31">
        <f t="shared" si="7"/>
        <v>476.86999999999534</v>
      </c>
    </row>
    <row r="157" spans="1:6" x14ac:dyDescent="0.25">
      <c r="A157" s="82"/>
      <c r="B157" s="195" t="s">
        <v>42</v>
      </c>
      <c r="C157" s="88"/>
      <c r="D157" s="89">
        <f>SUM(D141:D156)</f>
        <v>1415121.55</v>
      </c>
      <c r="E157" s="89">
        <f>SUM(E141:E156)</f>
        <v>1384611.73</v>
      </c>
      <c r="F157" s="31">
        <f t="shared" si="7"/>
        <v>30509.820000000065</v>
      </c>
    </row>
    <row r="158" spans="1:6" x14ac:dyDescent="0.25">
      <c r="A158" s="304"/>
      <c r="B158" s="549" t="s">
        <v>19</v>
      </c>
      <c r="C158" s="549"/>
      <c r="D158" s="305">
        <f>+D139+D157</f>
        <v>4888956.2</v>
      </c>
      <c r="E158" s="305">
        <f>+E139+E157</f>
        <v>4659941.05</v>
      </c>
      <c r="F158" s="305">
        <f t="shared" si="7"/>
        <v>229015.15000000037</v>
      </c>
    </row>
    <row r="159" spans="1:6" x14ac:dyDescent="0.25">
      <c r="A159" s="304"/>
      <c r="B159" s="306" t="s">
        <v>141</v>
      </c>
      <c r="C159" s="306"/>
      <c r="D159" s="305">
        <f>D128+D158</f>
        <v>19756329.370000001</v>
      </c>
      <c r="E159" s="305">
        <f>E128+E158</f>
        <v>17450187.379999999</v>
      </c>
      <c r="F159" s="305">
        <f>+D159-E159</f>
        <v>2306141.9900000021</v>
      </c>
    </row>
    <row r="160" spans="1:6" x14ac:dyDescent="0.25">
      <c r="A160" s="41"/>
      <c r="B160" s="234" t="s">
        <v>40</v>
      </c>
      <c r="C160" s="68"/>
      <c r="D160" s="69"/>
      <c r="E160" s="69">
        <f>E159/D159*100</f>
        <v>88.327072570971197</v>
      </c>
      <c r="F160" s="69" t="s">
        <v>39</v>
      </c>
    </row>
    <row r="161" spans="1:6" ht="53.25" customHeight="1" x14ac:dyDescent="0.25">
      <c r="A161" s="553" t="s">
        <v>196</v>
      </c>
      <c r="B161" s="553"/>
      <c r="C161" s="553"/>
      <c r="D161" s="553"/>
      <c r="E161" s="553"/>
      <c r="F161" s="553"/>
    </row>
    <row r="162" spans="1:6" ht="18.75" customHeight="1" x14ac:dyDescent="0.25">
      <c r="B162" s="519"/>
      <c r="C162" s="519"/>
      <c r="D162" s="519"/>
      <c r="E162" s="519"/>
      <c r="F162" s="519"/>
    </row>
    <row r="163" spans="1:6" x14ac:dyDescent="0.25">
      <c r="A163" t="s">
        <v>202</v>
      </c>
      <c r="D163" s="322"/>
      <c r="E163" s="323" t="s">
        <v>203</v>
      </c>
      <c r="F163" s="123" t="s">
        <v>204</v>
      </c>
    </row>
  </sheetData>
  <mergeCells count="13">
    <mergeCell ref="B158:C158"/>
    <mergeCell ref="B162:F162"/>
    <mergeCell ref="A6:F7"/>
    <mergeCell ref="A4:F4"/>
    <mergeCell ref="A5:F5"/>
    <mergeCell ref="B12:F12"/>
    <mergeCell ref="A129:F129"/>
    <mergeCell ref="A161:F161"/>
    <mergeCell ref="B17:F31"/>
    <mergeCell ref="B34:F54"/>
    <mergeCell ref="B90:F100"/>
    <mergeCell ref="B102:F122"/>
    <mergeCell ref="B127:F127"/>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4"/>
  <sheetViews>
    <sheetView topLeftCell="A7" workbookViewId="0">
      <selection activeCell="B16" sqref="B16"/>
    </sheetView>
  </sheetViews>
  <sheetFormatPr defaultRowHeight="15.75" x14ac:dyDescent="0.25"/>
  <cols>
    <col min="1" max="1" width="8" customWidth="1"/>
    <col min="2" max="2" width="39.85546875" style="15" customWidth="1"/>
    <col min="3" max="3" width="13.7109375" style="15" customWidth="1"/>
    <col min="4" max="4" width="13.42578125" style="15" customWidth="1"/>
    <col min="5" max="5" width="13.85546875" style="15" customWidth="1"/>
    <col min="6" max="6" width="15.28515625" style="15" customWidth="1"/>
  </cols>
  <sheetData>
    <row r="1" spans="1:14" ht="15" customHeight="1" x14ac:dyDescent="0.25">
      <c r="D1" s="1" t="s">
        <v>216</v>
      </c>
      <c r="E1"/>
    </row>
    <row r="2" spans="1:14" x14ac:dyDescent="0.25">
      <c r="D2" t="s">
        <v>198</v>
      </c>
      <c r="E2" s="1"/>
    </row>
    <row r="3" spans="1:14" x14ac:dyDescent="0.25">
      <c r="B3"/>
      <c r="C3"/>
      <c r="D3" t="s">
        <v>245</v>
      </c>
      <c r="E3" s="1"/>
      <c r="F3"/>
    </row>
    <row r="4" spans="1:14" x14ac:dyDescent="0.25">
      <c r="A4" s="511" t="s">
        <v>142</v>
      </c>
      <c r="B4" s="511"/>
      <c r="C4" s="511"/>
      <c r="D4" s="511"/>
      <c r="E4" s="511"/>
      <c r="F4"/>
    </row>
    <row r="5" spans="1:14" ht="33.950000000000003" customHeight="1" x14ac:dyDescent="0.25">
      <c r="A5" s="510" t="s">
        <v>300</v>
      </c>
      <c r="B5" s="510"/>
      <c r="C5" s="510"/>
      <c r="D5" s="510"/>
      <c r="E5" s="510"/>
      <c r="F5"/>
    </row>
    <row r="6" spans="1:14" ht="249.75" customHeight="1" x14ac:dyDescent="0.25">
      <c r="A6" s="548" t="s">
        <v>215</v>
      </c>
      <c r="B6" s="548"/>
      <c r="C6" s="548"/>
      <c r="D6" s="548"/>
      <c r="E6" s="548"/>
      <c r="F6"/>
    </row>
    <row r="7" spans="1:14" x14ac:dyDescent="0.25">
      <c r="A7" s="519" t="s">
        <v>32</v>
      </c>
      <c r="B7" s="519"/>
      <c r="C7" s="519"/>
      <c r="D7" s="519"/>
      <c r="E7" s="519"/>
      <c r="F7" s="519"/>
      <c r="G7" s="519"/>
      <c r="H7" s="298"/>
      <c r="I7" s="298"/>
      <c r="J7" s="298"/>
      <c r="K7" s="298"/>
      <c r="L7" s="298"/>
      <c r="M7" s="298"/>
      <c r="N7" s="298"/>
    </row>
    <row r="8" spans="1:14" x14ac:dyDescent="0.25">
      <c r="A8" s="299"/>
      <c r="B8" s="298" t="s">
        <v>33</v>
      </c>
      <c r="C8" s="308">
        <f>D19</f>
        <v>617198.09</v>
      </c>
      <c r="D8" s="299" t="s">
        <v>37</v>
      </c>
      <c r="E8" s="299"/>
      <c r="F8"/>
      <c r="H8" s="298"/>
      <c r="I8" s="298"/>
      <c r="J8" s="298"/>
      <c r="K8" s="298"/>
      <c r="L8" s="298"/>
      <c r="M8" s="298"/>
      <c r="N8" s="298"/>
    </row>
    <row r="9" spans="1:14" ht="31.5" x14ac:dyDescent="0.25">
      <c r="A9" s="41" t="s">
        <v>24</v>
      </c>
      <c r="B9" s="2" t="s">
        <v>0</v>
      </c>
      <c r="C9" s="2" t="s">
        <v>197</v>
      </c>
      <c r="D9" s="2" t="s">
        <v>7</v>
      </c>
      <c r="E9" s="2" t="s">
        <v>4</v>
      </c>
      <c r="F9"/>
      <c r="J9" s="297"/>
      <c r="K9" s="297"/>
      <c r="L9" s="56"/>
      <c r="M9" s="121"/>
      <c r="N9" s="56"/>
    </row>
    <row r="10" spans="1:14" ht="61.5" customHeight="1" x14ac:dyDescent="0.25">
      <c r="A10" s="151">
        <v>913112</v>
      </c>
      <c r="B10" s="3" t="s">
        <v>187</v>
      </c>
      <c r="C10" s="8">
        <v>15000</v>
      </c>
      <c r="D10" s="6">
        <v>15000</v>
      </c>
      <c r="E10" s="283">
        <v>0</v>
      </c>
      <c r="F10"/>
    </row>
    <row r="11" spans="1:14" ht="61.5" customHeight="1" x14ac:dyDescent="0.25">
      <c r="A11" s="151"/>
      <c r="B11" s="3" t="s">
        <v>188</v>
      </c>
      <c r="C11" s="8">
        <v>50000</v>
      </c>
      <c r="D11" s="6">
        <v>50000</v>
      </c>
      <c r="E11" s="283">
        <v>0</v>
      </c>
      <c r="F11"/>
    </row>
    <row r="12" spans="1:14" ht="61.5" customHeight="1" x14ac:dyDescent="0.25">
      <c r="A12" s="287"/>
      <c r="B12" s="288" t="s">
        <v>189</v>
      </c>
      <c r="C12" s="289">
        <v>10000</v>
      </c>
      <c r="D12" s="290">
        <v>9999.25</v>
      </c>
      <c r="E12" s="285">
        <v>0.75</v>
      </c>
      <c r="F12"/>
    </row>
    <row r="13" spans="1:14" ht="61.5" customHeight="1" x14ac:dyDescent="0.25">
      <c r="A13" s="287"/>
      <c r="B13" s="288" t="s">
        <v>190</v>
      </c>
      <c r="C13" s="289">
        <v>40000</v>
      </c>
      <c r="D13" s="290">
        <v>40000</v>
      </c>
      <c r="E13" s="285">
        <v>0</v>
      </c>
      <c r="F13"/>
    </row>
    <row r="14" spans="1:14" ht="61.5" customHeight="1" x14ac:dyDescent="0.25">
      <c r="A14" s="287"/>
      <c r="B14" s="288" t="s">
        <v>191</v>
      </c>
      <c r="C14" s="289">
        <v>475100</v>
      </c>
      <c r="D14" s="290">
        <v>452278.7</v>
      </c>
      <c r="E14" s="285">
        <v>22821.3</v>
      </c>
      <c r="F14"/>
    </row>
    <row r="15" spans="1:14" ht="51" customHeight="1" x14ac:dyDescent="0.25">
      <c r="A15" s="287"/>
      <c r="B15" s="288" t="s">
        <v>301</v>
      </c>
      <c r="C15" s="289">
        <v>5000</v>
      </c>
      <c r="D15" s="290"/>
      <c r="E15" s="285">
        <v>5000</v>
      </c>
      <c r="F15"/>
    </row>
    <row r="16" spans="1:14" ht="47.25" x14ac:dyDescent="0.25">
      <c r="A16" s="287"/>
      <c r="B16" s="288" t="s">
        <v>302</v>
      </c>
      <c r="C16" s="289">
        <v>30000</v>
      </c>
      <c r="D16" s="290">
        <v>29999.89</v>
      </c>
      <c r="E16" s="285">
        <v>0.11</v>
      </c>
      <c r="F16"/>
    </row>
    <row r="17" spans="1:6" ht="18" customHeight="1" x14ac:dyDescent="0.25">
      <c r="A17" s="287"/>
      <c r="B17" s="288" t="s">
        <v>303</v>
      </c>
      <c r="C17" s="289">
        <v>20000</v>
      </c>
      <c r="D17" s="290">
        <v>19920.25</v>
      </c>
      <c r="E17" s="285">
        <v>79.75</v>
      </c>
      <c r="F17"/>
    </row>
    <row r="18" spans="1:6" x14ac:dyDescent="0.25">
      <c r="A18" s="287"/>
      <c r="B18" s="288"/>
      <c r="C18" s="289"/>
      <c r="D18" s="290"/>
      <c r="E18" s="285"/>
      <c r="F18"/>
    </row>
    <row r="19" spans="1:6" x14ac:dyDescent="0.25">
      <c r="A19" s="61"/>
      <c r="B19" s="226" t="s">
        <v>3</v>
      </c>
      <c r="C19" s="284">
        <f>SUM(C10:C18)</f>
        <v>645100</v>
      </c>
      <c r="D19" s="284">
        <f>SUM(D10:D18)</f>
        <v>617198.09</v>
      </c>
      <c r="E19" s="307">
        <f t="shared" ref="E19" si="0">C19-D19</f>
        <v>27901.910000000033</v>
      </c>
    </row>
    <row r="20" spans="1:6" x14ac:dyDescent="0.25">
      <c r="A20" s="63"/>
      <c r="B20" s="512" t="s">
        <v>40</v>
      </c>
      <c r="C20" s="512"/>
      <c r="D20" s="286">
        <f>D19/C19*100</f>
        <v>95.67479305534026</v>
      </c>
      <c r="E20" s="68" t="s">
        <v>39</v>
      </c>
    </row>
    <row r="22" spans="1:6" ht="50.1" customHeight="1" x14ac:dyDescent="0.25">
      <c r="A22" s="513" t="s">
        <v>162</v>
      </c>
      <c r="B22" s="513"/>
      <c r="C22" s="513"/>
      <c r="D22" s="513"/>
      <c r="E22" s="513"/>
    </row>
    <row r="24" spans="1:6" x14ac:dyDescent="0.25">
      <c r="A24" t="s">
        <v>202</v>
      </c>
      <c r="C24" s="317"/>
      <c r="D24" s="137" t="s">
        <v>203</v>
      </c>
      <c r="E24" s="15" t="s">
        <v>204</v>
      </c>
    </row>
  </sheetData>
  <mergeCells count="6">
    <mergeCell ref="A22:E22"/>
    <mergeCell ref="A7:G7"/>
    <mergeCell ref="A4:E4"/>
    <mergeCell ref="A5:E5"/>
    <mergeCell ref="A6:E6"/>
    <mergeCell ref="B20:C20"/>
  </mergeCells>
  <pageMargins left="0.70866141732283472" right="0.70866141732283472" top="0.74803149606299213" bottom="0.74803149606299213" header="0.31496062992125984" footer="0.31496062992125984"/>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F48"/>
  <sheetViews>
    <sheetView topLeftCell="A22" workbookViewId="0">
      <selection activeCell="A40" sqref="A40:D40"/>
    </sheetView>
  </sheetViews>
  <sheetFormatPr defaultRowHeight="15.75" x14ac:dyDescent="0.25"/>
  <cols>
    <col min="1" max="1" width="59.5703125" style="15" customWidth="1"/>
    <col min="2" max="2" width="16.42578125" style="15" customWidth="1"/>
    <col min="3" max="3" width="18.28515625" style="25" customWidth="1"/>
    <col min="4" max="4" width="14.42578125" style="15" customWidth="1"/>
    <col min="5" max="5" width="29.7109375" customWidth="1"/>
    <col min="6" max="6" width="13" customWidth="1"/>
  </cols>
  <sheetData>
    <row r="1" spans="1:5" x14ac:dyDescent="0.25">
      <c r="C1" s="1" t="s">
        <v>212</v>
      </c>
      <c r="D1"/>
    </row>
    <row r="2" spans="1:5" x14ac:dyDescent="0.25">
      <c r="C2" t="s">
        <v>198</v>
      </c>
      <c r="D2" s="1"/>
    </row>
    <row r="3" spans="1:5" x14ac:dyDescent="0.25">
      <c r="A3" s="1"/>
      <c r="B3" s="1"/>
      <c r="C3" t="s">
        <v>284</v>
      </c>
      <c r="D3" s="1"/>
    </row>
    <row r="4" spans="1:5" x14ac:dyDescent="0.25">
      <c r="A4" s="573" t="s">
        <v>170</v>
      </c>
      <c r="B4" s="573"/>
      <c r="C4" s="573"/>
      <c r="D4" s="573"/>
    </row>
    <row r="5" spans="1:5" x14ac:dyDescent="0.25">
      <c r="A5" s="573" t="s">
        <v>239</v>
      </c>
      <c r="B5" s="573"/>
      <c r="C5" s="573"/>
      <c r="D5" s="573"/>
    </row>
    <row r="6" spans="1:5" ht="144.75" customHeight="1" x14ac:dyDescent="0.25">
      <c r="A6" s="548" t="s">
        <v>266</v>
      </c>
      <c r="B6" s="548"/>
      <c r="C6" s="548"/>
      <c r="D6" s="548"/>
      <c r="E6" s="233"/>
    </row>
    <row r="7" spans="1:5" x14ac:dyDescent="0.25">
      <c r="A7" s="49" t="s">
        <v>265</v>
      </c>
      <c r="B7" s="57">
        <f>+B8+B9</f>
        <v>1616530.13</v>
      </c>
      <c r="C7" s="97" t="s">
        <v>37</v>
      </c>
      <c r="D7" s="49"/>
    </row>
    <row r="8" spans="1:5" x14ac:dyDescent="0.25">
      <c r="A8" s="115" t="s">
        <v>33</v>
      </c>
      <c r="B8" s="57">
        <f>C37</f>
        <v>1446023.13</v>
      </c>
      <c r="C8" s="97" t="s">
        <v>37</v>
      </c>
      <c r="D8" s="115"/>
    </row>
    <row r="9" spans="1:5" ht="18.75" customHeight="1" x14ac:dyDescent="0.25">
      <c r="A9" s="53" t="s">
        <v>34</v>
      </c>
      <c r="B9" s="121">
        <f>C41</f>
        <v>170507</v>
      </c>
      <c r="C9" s="96" t="s">
        <v>37</v>
      </c>
      <c r="D9" s="116"/>
    </row>
    <row r="10" spans="1:5" ht="30.75" customHeight="1" x14ac:dyDescent="0.25">
      <c r="A10" s="10" t="s">
        <v>35</v>
      </c>
      <c r="B10" s="2" t="s">
        <v>1</v>
      </c>
      <c r="C10" s="24" t="s">
        <v>11</v>
      </c>
      <c r="D10" s="2" t="s">
        <v>5</v>
      </c>
    </row>
    <row r="11" spans="1:5" x14ac:dyDescent="0.25">
      <c r="A11" s="551" t="s">
        <v>17</v>
      </c>
      <c r="B11" s="551"/>
      <c r="C11" s="551"/>
      <c r="D11" s="551"/>
    </row>
    <row r="12" spans="1:5" x14ac:dyDescent="0.25">
      <c r="A12" s="126" t="s">
        <v>268</v>
      </c>
      <c r="B12" s="367">
        <v>875687</v>
      </c>
      <c r="C12" s="367">
        <v>794199.85</v>
      </c>
      <c r="D12" s="368">
        <f>B12-C12</f>
        <v>81487.150000000023</v>
      </c>
    </row>
    <row r="13" spans="1:5" ht="15.75" customHeight="1" x14ac:dyDescent="0.25">
      <c r="A13" s="536" t="s">
        <v>285</v>
      </c>
      <c r="B13" s="537"/>
      <c r="C13" s="537"/>
      <c r="D13" s="538"/>
    </row>
    <row r="14" spans="1:5" ht="15.75" customHeight="1" x14ac:dyDescent="0.25">
      <c r="A14" s="539"/>
      <c r="B14" s="540"/>
      <c r="C14" s="540"/>
      <c r="D14" s="541"/>
    </row>
    <row r="15" spans="1:5" ht="15.75" customHeight="1" x14ac:dyDescent="0.25">
      <c r="A15" s="539"/>
      <c r="B15" s="540"/>
      <c r="C15" s="540"/>
      <c r="D15" s="541"/>
    </row>
    <row r="16" spans="1:5" ht="15.75" customHeight="1" x14ac:dyDescent="0.25">
      <c r="A16" s="539"/>
      <c r="B16" s="540"/>
      <c r="C16" s="540"/>
      <c r="D16" s="541"/>
    </row>
    <row r="17" spans="1:6" ht="15.75" customHeight="1" x14ac:dyDescent="0.25">
      <c r="A17" s="539"/>
      <c r="B17" s="540"/>
      <c r="C17" s="540"/>
      <c r="D17" s="541"/>
    </row>
    <row r="18" spans="1:6" ht="15.75" customHeight="1" x14ac:dyDescent="0.25">
      <c r="A18" s="539"/>
      <c r="B18" s="540"/>
      <c r="C18" s="540"/>
      <c r="D18" s="541"/>
    </row>
    <row r="19" spans="1:6" ht="15.75" customHeight="1" x14ac:dyDescent="0.25">
      <c r="A19" s="539"/>
      <c r="B19" s="540"/>
      <c r="C19" s="540"/>
      <c r="D19" s="541"/>
    </row>
    <row r="20" spans="1:6" ht="249.75" customHeight="1" x14ac:dyDescent="0.25">
      <c r="A20" s="542"/>
      <c r="B20" s="543"/>
      <c r="C20" s="543"/>
      <c r="D20" s="544"/>
    </row>
    <row r="21" spans="1:6" x14ac:dyDescent="0.25">
      <c r="A21" s="126" t="s">
        <v>113</v>
      </c>
      <c r="B21" s="100">
        <f>SUM(B12:B20)</f>
        <v>875687</v>
      </c>
      <c r="C21" s="100">
        <f>SUM(C12:C20)</f>
        <v>794199.85</v>
      </c>
      <c r="D21" s="100">
        <f>B21-C21</f>
        <v>81487.150000000023</v>
      </c>
    </row>
    <row r="22" spans="1:6" x14ac:dyDescent="0.25">
      <c r="A22" s="127" t="s">
        <v>276</v>
      </c>
      <c r="B22" s="85">
        <v>675165.47</v>
      </c>
      <c r="C22" s="369">
        <v>619543.28</v>
      </c>
      <c r="D22" s="368">
        <f>B22-C22</f>
        <v>55622.189999999944</v>
      </c>
      <c r="E22" s="106"/>
    </row>
    <row r="23" spans="1:6" ht="15.75" customHeight="1" x14ac:dyDescent="0.25">
      <c r="A23" s="536" t="s">
        <v>286</v>
      </c>
      <c r="B23" s="537"/>
      <c r="C23" s="537"/>
      <c r="D23" s="538"/>
    </row>
    <row r="24" spans="1:6" ht="15.75" customHeight="1" x14ac:dyDescent="0.25">
      <c r="A24" s="539"/>
      <c r="B24" s="540"/>
      <c r="C24" s="540"/>
      <c r="D24" s="541"/>
    </row>
    <row r="25" spans="1:6" ht="19.5" customHeight="1" x14ac:dyDescent="0.25">
      <c r="A25" s="539"/>
      <c r="B25" s="540"/>
      <c r="C25" s="540"/>
      <c r="D25" s="541"/>
    </row>
    <row r="26" spans="1:6" ht="15.75" customHeight="1" x14ac:dyDescent="0.25">
      <c r="A26" s="539"/>
      <c r="B26" s="540"/>
      <c r="C26" s="540"/>
      <c r="D26" s="541"/>
    </row>
    <row r="27" spans="1:6" ht="15.75" customHeight="1" x14ac:dyDescent="0.25">
      <c r="A27" s="539"/>
      <c r="B27" s="540"/>
      <c r="C27" s="540"/>
      <c r="D27" s="541"/>
    </row>
    <row r="28" spans="1:6" ht="15.75" customHeight="1" x14ac:dyDescent="0.25">
      <c r="A28" s="539"/>
      <c r="B28" s="540"/>
      <c r="C28" s="540"/>
      <c r="D28" s="541"/>
    </row>
    <row r="29" spans="1:6" ht="15.75" customHeight="1" x14ac:dyDescent="0.25">
      <c r="A29" s="539"/>
      <c r="B29" s="540"/>
      <c r="C29" s="540"/>
      <c r="D29" s="541"/>
    </row>
    <row r="30" spans="1:6" ht="34.5" customHeight="1" x14ac:dyDescent="0.25">
      <c r="A30" s="539"/>
      <c r="B30" s="540"/>
      <c r="C30" s="540"/>
      <c r="D30" s="541"/>
    </row>
    <row r="31" spans="1:6" ht="15.75" customHeight="1" x14ac:dyDescent="0.25">
      <c r="A31" s="539"/>
      <c r="B31" s="540"/>
      <c r="C31" s="540"/>
      <c r="D31" s="541"/>
    </row>
    <row r="32" spans="1:6" ht="31.5" customHeight="1" x14ac:dyDescent="0.25">
      <c r="A32" s="539"/>
      <c r="B32" s="540"/>
      <c r="C32" s="540"/>
      <c r="D32" s="541"/>
      <c r="F32" s="344"/>
    </row>
    <row r="33" spans="1:6" ht="31.5" customHeight="1" x14ac:dyDescent="0.25">
      <c r="A33" s="539"/>
      <c r="B33" s="540"/>
      <c r="C33" s="540"/>
      <c r="D33" s="541"/>
    </row>
    <row r="34" spans="1:6" ht="88.5" customHeight="1" x14ac:dyDescent="0.25">
      <c r="A34" s="542"/>
      <c r="B34" s="543"/>
      <c r="C34" s="543"/>
      <c r="D34" s="544"/>
    </row>
    <row r="35" spans="1:6" x14ac:dyDescent="0.25">
      <c r="A35" s="126" t="s">
        <v>114</v>
      </c>
      <c r="B35" s="35">
        <f>SUM(B22:B34)</f>
        <v>675165.47</v>
      </c>
      <c r="C35" s="35">
        <f>SUM(C22:C34)</f>
        <v>619543.28</v>
      </c>
      <c r="D35" s="35">
        <f>B35-C35</f>
        <v>55622.189999999944</v>
      </c>
    </row>
    <row r="36" spans="1:6" ht="33" customHeight="1" x14ac:dyDescent="0.25">
      <c r="A36" s="235" t="s">
        <v>169</v>
      </c>
      <c r="B36" s="35">
        <v>89420</v>
      </c>
      <c r="C36" s="35">
        <v>32280</v>
      </c>
      <c r="D36" s="35">
        <f t="shared" ref="D36" si="0">B36-C36</f>
        <v>57140</v>
      </c>
      <c r="E36" s="106"/>
      <c r="F36" s="106"/>
    </row>
    <row r="37" spans="1:6" x14ac:dyDescent="0.25">
      <c r="A37" s="222" t="s">
        <v>173</v>
      </c>
      <c r="B37" s="35">
        <f>B21+B35+B36</f>
        <v>1640272.47</v>
      </c>
      <c r="C37" s="35">
        <f>C21+C35+C36</f>
        <v>1446023.13</v>
      </c>
      <c r="D37" s="35">
        <f>D21+D35+D36</f>
        <v>194249.33999999997</v>
      </c>
      <c r="E37" s="106"/>
    </row>
    <row r="38" spans="1:6" x14ac:dyDescent="0.25">
      <c r="A38" s="552" t="s">
        <v>109</v>
      </c>
      <c r="B38" s="552"/>
      <c r="C38" s="552"/>
      <c r="D38" s="552"/>
    </row>
    <row r="39" spans="1:6" x14ac:dyDescent="0.25">
      <c r="A39" s="3" t="s">
        <v>171</v>
      </c>
      <c r="B39" s="31">
        <v>171481</v>
      </c>
      <c r="C39" s="31">
        <v>170507</v>
      </c>
      <c r="D39" s="31">
        <f>+B39-C39</f>
        <v>974</v>
      </c>
    </row>
    <row r="40" spans="1:6" ht="69" customHeight="1" x14ac:dyDescent="0.25">
      <c r="A40" s="545" t="s">
        <v>288</v>
      </c>
      <c r="B40" s="546"/>
      <c r="C40" s="546"/>
      <c r="D40" s="547"/>
    </row>
    <row r="41" spans="1:6" x14ac:dyDescent="0.25">
      <c r="A41" s="195" t="s">
        <v>172</v>
      </c>
      <c r="B41" s="89">
        <f>SUM(B39:B40)</f>
        <v>171481</v>
      </c>
      <c r="C41" s="89">
        <f>SUM(C39:C40)</f>
        <v>170507</v>
      </c>
      <c r="D41" s="89">
        <f>B41-C41</f>
        <v>974</v>
      </c>
    </row>
    <row r="42" spans="1:6" x14ac:dyDescent="0.25">
      <c r="A42" s="222" t="s">
        <v>174</v>
      </c>
      <c r="B42" s="35">
        <f>B37+B41</f>
        <v>1811753.47</v>
      </c>
      <c r="C42" s="35">
        <f>C37+C41</f>
        <v>1616530.13</v>
      </c>
      <c r="D42" s="35">
        <f>D37+D41</f>
        <v>195223.33999999997</v>
      </c>
    </row>
    <row r="43" spans="1:6" x14ac:dyDescent="0.25">
      <c r="A43" s="234" t="s">
        <v>40</v>
      </c>
      <c r="B43" s="68"/>
      <c r="C43" s="70">
        <f>C42/B42*100</f>
        <v>89.224618954365781</v>
      </c>
      <c r="D43" s="68" t="s">
        <v>39</v>
      </c>
    </row>
    <row r="44" spans="1:6" ht="9" customHeight="1" x14ac:dyDescent="0.25">
      <c r="A44" s="548"/>
      <c r="B44" s="548"/>
      <c r="C44" s="548"/>
      <c r="D44" s="548"/>
    </row>
    <row r="45" spans="1:6" ht="36.75" customHeight="1" x14ac:dyDescent="0.25">
      <c r="A45" s="548" t="s">
        <v>287</v>
      </c>
      <c r="B45" s="548"/>
      <c r="C45" s="548"/>
      <c r="D45" s="548"/>
    </row>
    <row r="48" spans="1:6" x14ac:dyDescent="0.25">
      <c r="A48" s="15" t="s">
        <v>202</v>
      </c>
      <c r="B48" s="317"/>
      <c r="C48" s="318" t="s">
        <v>203</v>
      </c>
      <c r="D48" s="15" t="s">
        <v>204</v>
      </c>
    </row>
  </sheetData>
  <mergeCells count="10">
    <mergeCell ref="A38:D38"/>
    <mergeCell ref="A44:D44"/>
    <mergeCell ref="A45:D45"/>
    <mergeCell ref="A4:D4"/>
    <mergeCell ref="A6:D6"/>
    <mergeCell ref="A11:D11"/>
    <mergeCell ref="A5:D5"/>
    <mergeCell ref="A13:D20"/>
    <mergeCell ref="A23:D34"/>
    <mergeCell ref="A40:D40"/>
  </mergeCells>
  <pageMargins left="0.39370078740157483" right="0.39370078740157483" top="0.74803149606299213" bottom="0.74803149606299213" header="0.31496062992125984" footer="0.31496062992125984"/>
  <pageSetup paperSize="9" scale="87"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6"/>
  <sheetViews>
    <sheetView workbookViewId="0">
      <selection activeCell="A14" sqref="A14:E14"/>
    </sheetView>
  </sheetViews>
  <sheetFormatPr defaultRowHeight="15.75" x14ac:dyDescent="0.25"/>
  <cols>
    <col min="1" max="1" width="7.140625" customWidth="1"/>
    <col min="2" max="2" width="41.140625" style="15" customWidth="1"/>
    <col min="3" max="3" width="13.85546875" style="15" customWidth="1"/>
    <col min="4" max="4" width="14.140625" style="25" customWidth="1"/>
    <col min="5" max="5" width="13.42578125" style="15" customWidth="1"/>
  </cols>
  <sheetData>
    <row r="1" spans="1:9" x14ac:dyDescent="0.25">
      <c r="D1" s="1" t="s">
        <v>214</v>
      </c>
      <c r="E1"/>
    </row>
    <row r="2" spans="1:9" x14ac:dyDescent="0.25">
      <c r="D2" t="s">
        <v>198</v>
      </c>
      <c r="E2" s="1"/>
    </row>
    <row r="3" spans="1:9" x14ac:dyDescent="0.25">
      <c r="B3" s="1"/>
      <c r="C3" s="1"/>
      <c r="D3" t="s">
        <v>245</v>
      </c>
      <c r="E3" s="1"/>
    </row>
    <row r="4" spans="1:9" x14ac:dyDescent="0.25">
      <c r="A4" s="511" t="s">
        <v>142</v>
      </c>
      <c r="B4" s="511"/>
      <c r="C4" s="511"/>
      <c r="D4" s="511"/>
      <c r="E4" s="511"/>
    </row>
    <row r="5" spans="1:9" ht="37.5" customHeight="1" x14ac:dyDescent="0.25">
      <c r="A5" s="573" t="s">
        <v>240</v>
      </c>
      <c r="B5" s="573"/>
      <c r="C5" s="573"/>
      <c r="D5" s="573"/>
      <c r="E5" s="573"/>
    </row>
    <row r="6" spans="1:9" ht="241.5" customHeight="1" x14ac:dyDescent="0.25">
      <c r="A6" s="574" t="s">
        <v>164</v>
      </c>
      <c r="B6" s="574"/>
      <c r="C6" s="574"/>
      <c r="D6" s="574"/>
      <c r="E6" s="574"/>
      <c r="I6" s="206"/>
    </row>
    <row r="7" spans="1:9" ht="16.5" x14ac:dyDescent="0.25">
      <c r="A7" s="519" t="s">
        <v>272</v>
      </c>
      <c r="B7" s="519"/>
      <c r="C7" s="519"/>
      <c r="D7" s="519"/>
      <c r="E7" s="519"/>
      <c r="I7" s="220"/>
    </row>
    <row r="8" spans="1:9" ht="30.75" customHeight="1" x14ac:dyDescent="0.25">
      <c r="A8" s="221" t="s">
        <v>24</v>
      </c>
      <c r="B8" s="10" t="s">
        <v>35</v>
      </c>
      <c r="C8" s="2" t="s">
        <v>8</v>
      </c>
      <c r="D8" s="24" t="s">
        <v>9</v>
      </c>
      <c r="E8" s="2" t="s">
        <v>5</v>
      </c>
    </row>
    <row r="9" spans="1:9" x14ac:dyDescent="0.25">
      <c r="B9" s="521" t="s">
        <v>17</v>
      </c>
      <c r="C9" s="522"/>
      <c r="D9" s="522"/>
      <c r="E9" s="523"/>
    </row>
    <row r="10" spans="1:9" ht="31.5" x14ac:dyDescent="0.25">
      <c r="A10" s="85">
        <v>114082</v>
      </c>
      <c r="B10" s="3" t="s">
        <v>268</v>
      </c>
      <c r="C10" s="362">
        <v>649100</v>
      </c>
      <c r="D10" s="363">
        <v>649093.6</v>
      </c>
      <c r="E10" s="6"/>
    </row>
    <row r="11" spans="1:9" x14ac:dyDescent="0.25">
      <c r="A11" s="41"/>
      <c r="B11" s="3" t="s">
        <v>267</v>
      </c>
      <c r="C11" s="362">
        <v>49900</v>
      </c>
      <c r="D11" s="363">
        <v>23419</v>
      </c>
      <c r="E11" s="6"/>
    </row>
    <row r="12" spans="1:9" ht="21" customHeight="1" x14ac:dyDescent="0.25">
      <c r="A12" s="41"/>
      <c r="B12" s="126" t="s">
        <v>42</v>
      </c>
      <c r="C12" s="35">
        <f>SUM(C10:C11)</f>
        <v>699000</v>
      </c>
      <c r="D12" s="35">
        <f>SUM(D10:D11)</f>
        <v>672512.6</v>
      </c>
      <c r="E12" s="35">
        <f>C12-D12</f>
        <v>26487.400000000023</v>
      </c>
    </row>
    <row r="13" spans="1:9" x14ac:dyDescent="0.25">
      <c r="A13" s="63"/>
      <c r="B13" s="65" t="s">
        <v>40</v>
      </c>
      <c r="C13" s="66"/>
      <c r="D13" s="70">
        <f>D12/C12*100</f>
        <v>96.210672389127311</v>
      </c>
      <c r="E13" s="71" t="s">
        <v>39</v>
      </c>
    </row>
    <row r="14" spans="1:9" ht="79.5" customHeight="1" x14ac:dyDescent="0.25">
      <c r="A14" s="513" t="s">
        <v>269</v>
      </c>
      <c r="B14" s="513"/>
      <c r="C14" s="513"/>
      <c r="D14" s="513"/>
      <c r="E14" s="513"/>
    </row>
    <row r="15" spans="1:9" ht="18.75" customHeight="1" x14ac:dyDescent="0.25">
      <c r="B15" s="519"/>
      <c r="C15" s="519"/>
      <c r="D15" s="519"/>
      <c r="E15" s="519"/>
    </row>
    <row r="16" spans="1:9" x14ac:dyDescent="0.25">
      <c r="A16" t="s">
        <v>202</v>
      </c>
      <c r="C16" s="317"/>
      <c r="D16" s="318" t="s">
        <v>203</v>
      </c>
      <c r="E16" s="15" t="s">
        <v>204</v>
      </c>
    </row>
  </sheetData>
  <mergeCells count="7">
    <mergeCell ref="B15:E15"/>
    <mergeCell ref="A4:E4"/>
    <mergeCell ref="A5:E5"/>
    <mergeCell ref="A6:E6"/>
    <mergeCell ref="A7:E7"/>
    <mergeCell ref="B9:E9"/>
    <mergeCell ref="A14:E14"/>
  </mergeCells>
  <pageMargins left="0.39370078740157483" right="0.39370078740157483"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43"/>
  <sheetViews>
    <sheetView workbookViewId="0">
      <selection activeCell="I29" sqref="I29"/>
    </sheetView>
  </sheetViews>
  <sheetFormatPr defaultRowHeight="15.75" x14ac:dyDescent="0.25"/>
  <cols>
    <col min="1" max="1" width="7.140625" customWidth="1"/>
    <col min="2" max="2" width="40.140625" style="15" customWidth="1"/>
    <col min="3" max="3" width="16.7109375" style="15" customWidth="1"/>
    <col min="4" max="4" width="16.140625" style="25" customWidth="1"/>
    <col min="5" max="5" width="16" style="15" customWidth="1"/>
    <col min="6" max="6" width="10" bestFit="1" customWidth="1"/>
  </cols>
  <sheetData>
    <row r="1" spans="1:5" x14ac:dyDescent="0.25">
      <c r="D1" s="509" t="s">
        <v>230</v>
      </c>
      <c r="E1" s="509"/>
    </row>
    <row r="2" spans="1:5" x14ac:dyDescent="0.25">
      <c r="D2" t="s">
        <v>198</v>
      </c>
      <c r="E2" s="1"/>
    </row>
    <row r="3" spans="1:5" x14ac:dyDescent="0.25">
      <c r="B3" s="1"/>
      <c r="C3" s="1"/>
      <c r="D3" t="s">
        <v>245</v>
      </c>
      <c r="E3" s="1"/>
    </row>
    <row r="4" spans="1:5" x14ac:dyDescent="0.25">
      <c r="A4" s="511" t="s">
        <v>142</v>
      </c>
      <c r="B4" s="511"/>
      <c r="C4" s="511"/>
      <c r="D4" s="511"/>
      <c r="E4" s="511"/>
    </row>
    <row r="5" spans="1:5" ht="37.5" customHeight="1" x14ac:dyDescent="0.25">
      <c r="A5" s="573" t="s">
        <v>274</v>
      </c>
      <c r="B5" s="573"/>
      <c r="C5" s="573"/>
      <c r="D5" s="573"/>
      <c r="E5" s="573"/>
    </row>
    <row r="6" spans="1:5" ht="376.5" customHeight="1" x14ac:dyDescent="0.25">
      <c r="A6" s="501" t="s">
        <v>273</v>
      </c>
      <c r="B6" s="501"/>
      <c r="C6" s="501"/>
      <c r="D6" s="501"/>
      <c r="E6" s="501"/>
    </row>
    <row r="7" spans="1:5" x14ac:dyDescent="0.25">
      <c r="A7" s="49" t="s">
        <v>256</v>
      </c>
      <c r="B7" s="49"/>
      <c r="C7" s="49"/>
      <c r="D7" s="366">
        <f>+C8+C9</f>
        <v>696810.88</v>
      </c>
      <c r="E7" s="97" t="s">
        <v>37</v>
      </c>
    </row>
    <row r="8" spans="1:5" x14ac:dyDescent="0.25">
      <c r="B8" s="125" t="s">
        <v>33</v>
      </c>
      <c r="C8" s="57">
        <f>D30</f>
        <v>516791.88</v>
      </c>
      <c r="D8" s="97" t="s">
        <v>37</v>
      </c>
      <c r="E8" s="125"/>
    </row>
    <row r="9" spans="1:5" x14ac:dyDescent="0.25">
      <c r="B9" s="337" t="s">
        <v>34</v>
      </c>
      <c r="C9" s="57">
        <f>+C33</f>
        <v>180019</v>
      </c>
      <c r="D9" s="97" t="s">
        <v>37</v>
      </c>
      <c r="E9" s="337"/>
    </row>
    <row r="10" spans="1:5" s="11" customFormat="1" ht="30.75" customHeight="1" x14ac:dyDescent="0.25">
      <c r="A10" s="99" t="s">
        <v>24</v>
      </c>
      <c r="B10" s="10" t="s">
        <v>35</v>
      </c>
      <c r="C10" s="10" t="s">
        <v>1</v>
      </c>
      <c r="D10" s="113" t="s">
        <v>11</v>
      </c>
      <c r="E10" s="10" t="s">
        <v>5</v>
      </c>
    </row>
    <row r="11" spans="1:5" x14ac:dyDescent="0.25">
      <c r="B11" s="521" t="s">
        <v>17</v>
      </c>
      <c r="C11" s="522"/>
      <c r="D11" s="522"/>
      <c r="E11" s="523"/>
    </row>
    <row r="12" spans="1:5" hidden="1" x14ac:dyDescent="0.25">
      <c r="B12" s="3" t="s">
        <v>15</v>
      </c>
      <c r="C12" s="363">
        <v>3077631</v>
      </c>
      <c r="D12" s="363">
        <v>3076121.63</v>
      </c>
      <c r="E12" s="6">
        <f>C12-D12</f>
        <v>1509.3700000001118</v>
      </c>
    </row>
    <row r="13" spans="1:5" hidden="1" x14ac:dyDescent="0.25">
      <c r="A13" s="41"/>
      <c r="B13" s="3" t="s">
        <v>71</v>
      </c>
      <c r="C13" s="363">
        <v>677074</v>
      </c>
      <c r="D13" s="363">
        <v>666139.79</v>
      </c>
      <c r="E13" s="6">
        <f t="shared" ref="E13:E29" si="0">C13-D13</f>
        <v>10934.209999999963</v>
      </c>
    </row>
    <row r="14" spans="1:5" hidden="1" x14ac:dyDescent="0.25">
      <c r="A14" s="41"/>
      <c r="B14" s="3" t="s">
        <v>111</v>
      </c>
      <c r="C14" s="100">
        <f>C12+C13</f>
        <v>3754705</v>
      </c>
      <c r="D14" s="100">
        <f t="shared" ref="D14:E14" si="1">D12+D13</f>
        <v>3742261.42</v>
      </c>
      <c r="E14" s="100">
        <f t="shared" si="1"/>
        <v>12443.580000000075</v>
      </c>
    </row>
    <row r="15" spans="1:5" ht="31.5" x14ac:dyDescent="0.25">
      <c r="A15" s="85">
        <v>115062</v>
      </c>
      <c r="B15" s="5" t="s">
        <v>160</v>
      </c>
      <c r="C15" s="362">
        <v>403205</v>
      </c>
      <c r="D15" s="363">
        <v>383494.91</v>
      </c>
      <c r="E15" s="6"/>
    </row>
    <row r="16" spans="1:5" ht="15.75" customHeight="1" x14ac:dyDescent="0.25">
      <c r="A16" s="575" t="s">
        <v>275</v>
      </c>
      <c r="B16" s="576"/>
      <c r="C16" s="576"/>
      <c r="D16" s="576"/>
      <c r="E16" s="577"/>
    </row>
    <row r="17" spans="1:6" ht="15.75" customHeight="1" x14ac:dyDescent="0.25">
      <c r="A17" s="578"/>
      <c r="B17" s="579"/>
      <c r="C17" s="579"/>
      <c r="D17" s="579"/>
      <c r="E17" s="580"/>
    </row>
    <row r="18" spans="1:6" ht="15.75" customHeight="1" x14ac:dyDescent="0.25">
      <c r="A18" s="578"/>
      <c r="B18" s="579"/>
      <c r="C18" s="579"/>
      <c r="D18" s="579"/>
      <c r="E18" s="580"/>
    </row>
    <row r="19" spans="1:6" ht="44.25" customHeight="1" x14ac:dyDescent="0.25">
      <c r="A19" s="581"/>
      <c r="B19" s="582"/>
      <c r="C19" s="582"/>
      <c r="D19" s="582"/>
      <c r="E19" s="583"/>
    </row>
    <row r="20" spans="1:6" x14ac:dyDescent="0.25">
      <c r="A20" s="41"/>
      <c r="B20" s="126" t="s">
        <v>113</v>
      </c>
      <c r="C20" s="100">
        <f>+C15</f>
        <v>403205</v>
      </c>
      <c r="D20" s="100">
        <f>SUM(D15:D19)</f>
        <v>383494.91</v>
      </c>
      <c r="E20" s="100">
        <f>C20-D20</f>
        <v>19710.090000000026</v>
      </c>
    </row>
    <row r="21" spans="1:6" x14ac:dyDescent="0.25">
      <c r="A21" s="41"/>
      <c r="B21" s="126"/>
      <c r="C21" s="362"/>
      <c r="D21" s="363"/>
      <c r="E21" s="6"/>
    </row>
    <row r="22" spans="1:6" x14ac:dyDescent="0.25">
      <c r="A22" s="41"/>
      <c r="B22" s="126" t="s">
        <v>276</v>
      </c>
      <c r="C22" s="362">
        <v>151700</v>
      </c>
      <c r="D22" s="363">
        <v>123996.97</v>
      </c>
      <c r="E22" s="6"/>
    </row>
    <row r="23" spans="1:6" ht="15.75" customHeight="1" x14ac:dyDescent="0.25">
      <c r="A23" s="536" t="s">
        <v>277</v>
      </c>
      <c r="B23" s="537"/>
      <c r="C23" s="537"/>
      <c r="D23" s="537"/>
      <c r="E23" s="538"/>
    </row>
    <row r="24" spans="1:6" ht="15.75" customHeight="1" x14ac:dyDescent="0.25">
      <c r="A24" s="539"/>
      <c r="B24" s="540"/>
      <c r="C24" s="540"/>
      <c r="D24" s="540"/>
      <c r="E24" s="541"/>
    </row>
    <row r="25" spans="1:6" ht="31.5" customHeight="1" x14ac:dyDescent="0.25">
      <c r="A25" s="539"/>
      <c r="B25" s="540"/>
      <c r="C25" s="540"/>
      <c r="D25" s="540"/>
      <c r="E25" s="541"/>
    </row>
    <row r="26" spans="1:6" ht="31.5" customHeight="1" x14ac:dyDescent="0.25">
      <c r="A26" s="539"/>
      <c r="B26" s="540"/>
      <c r="C26" s="540"/>
      <c r="D26" s="540"/>
      <c r="E26" s="541"/>
    </row>
    <row r="27" spans="1:6" ht="9.75" customHeight="1" x14ac:dyDescent="0.25">
      <c r="A27" s="542"/>
      <c r="B27" s="543"/>
      <c r="C27" s="543"/>
      <c r="D27" s="543"/>
      <c r="E27" s="544"/>
    </row>
    <row r="28" spans="1:6" x14ac:dyDescent="0.25">
      <c r="A28" s="41"/>
      <c r="B28" s="126" t="s">
        <v>161</v>
      </c>
      <c r="C28" s="100">
        <f>+C22</f>
        <v>151700</v>
      </c>
      <c r="D28" s="100">
        <f>SUM(D22:D27)</f>
        <v>123996.97</v>
      </c>
      <c r="E28" s="100">
        <f>C28-D28</f>
        <v>27703.03</v>
      </c>
    </row>
    <row r="29" spans="1:6" x14ac:dyDescent="0.25">
      <c r="A29" s="41"/>
      <c r="B29" s="3" t="s">
        <v>100</v>
      </c>
      <c r="C29" s="363">
        <v>10000</v>
      </c>
      <c r="D29" s="363">
        <v>9300</v>
      </c>
      <c r="E29" s="6">
        <f t="shared" si="0"/>
        <v>700</v>
      </c>
      <c r="F29" s="106"/>
    </row>
    <row r="30" spans="1:6" x14ac:dyDescent="0.25">
      <c r="A30" s="41"/>
      <c r="B30" s="126" t="s">
        <v>163</v>
      </c>
      <c r="C30" s="35">
        <f>C20+C28+C29</f>
        <v>564905</v>
      </c>
      <c r="D30" s="35">
        <f>D20+D28+D29</f>
        <v>516791.88</v>
      </c>
      <c r="E30" s="35">
        <f>E20+E28+E29</f>
        <v>48113.120000000024</v>
      </c>
    </row>
    <row r="31" spans="1:6" ht="15.75" customHeight="1" x14ac:dyDescent="0.25">
      <c r="A31" s="41"/>
      <c r="B31" s="65" t="s">
        <v>40</v>
      </c>
      <c r="C31" s="67"/>
      <c r="D31" s="69">
        <f>D30/C30*100</f>
        <v>91.482971473079544</v>
      </c>
      <c r="E31" s="68" t="s">
        <v>39</v>
      </c>
    </row>
    <row r="32" spans="1:6" x14ac:dyDescent="0.25">
      <c r="A32" s="63">
        <v>115062</v>
      </c>
      <c r="B32" s="338" t="s">
        <v>18</v>
      </c>
      <c r="C32" s="338"/>
      <c r="D32" s="338"/>
      <c r="E32" s="339"/>
    </row>
    <row r="33" spans="1:6" ht="31.5" x14ac:dyDescent="0.25">
      <c r="A33" s="82"/>
      <c r="B33" s="78" t="s">
        <v>278</v>
      </c>
      <c r="C33" s="31">
        <v>180019</v>
      </c>
      <c r="D33" s="31">
        <v>180019</v>
      </c>
      <c r="E33" s="31">
        <f t="shared" ref="E33" si="2">+C33-D33</f>
        <v>0</v>
      </c>
    </row>
    <row r="34" spans="1:6" ht="36" customHeight="1" x14ac:dyDescent="0.25">
      <c r="A34" s="584" t="s">
        <v>279</v>
      </c>
      <c r="B34" s="585"/>
      <c r="C34" s="585"/>
      <c r="D34" s="585"/>
      <c r="E34" s="586"/>
    </row>
    <row r="35" spans="1:6" x14ac:dyDescent="0.25">
      <c r="A35" s="82"/>
      <c r="B35" s="343" t="s">
        <v>19</v>
      </c>
      <c r="C35" s="89">
        <f>SUM(C33:C33)</f>
        <v>180019</v>
      </c>
      <c r="D35" s="89">
        <f>SUM(D33:D33)</f>
        <v>180019</v>
      </c>
      <c r="E35" s="89">
        <f>+C35-D35</f>
        <v>0</v>
      </c>
    </row>
    <row r="36" spans="1:6" x14ac:dyDescent="0.25">
      <c r="A36" s="82"/>
      <c r="B36" s="340" t="s">
        <v>40</v>
      </c>
      <c r="C36" s="66"/>
      <c r="D36" s="70">
        <f>D35/C35*100</f>
        <v>100</v>
      </c>
      <c r="E36" s="71" t="s">
        <v>39</v>
      </c>
    </row>
    <row r="37" spans="1:6" x14ac:dyDescent="0.25">
      <c r="A37" s="63"/>
      <c r="B37" s="548"/>
      <c r="C37" s="548"/>
      <c r="D37" s="548"/>
      <c r="E37" s="548"/>
    </row>
    <row r="38" spans="1:6" ht="15" customHeight="1" x14ac:dyDescent="0.25">
      <c r="B38" s="341"/>
      <c r="C38" s="341"/>
      <c r="D38" s="341"/>
      <c r="E38" s="341"/>
    </row>
    <row r="39" spans="1:6" ht="53.25" customHeight="1" x14ac:dyDescent="0.25">
      <c r="A39" s="501" t="s">
        <v>162</v>
      </c>
      <c r="B39" s="501"/>
      <c r="C39" s="501"/>
      <c r="D39" s="501"/>
      <c r="E39" s="501"/>
    </row>
    <row r="41" spans="1:6" x14ac:dyDescent="0.25">
      <c r="C41" s="317"/>
      <c r="D41" s="318" t="s">
        <v>203</v>
      </c>
      <c r="E41" s="15" t="s">
        <v>204</v>
      </c>
    </row>
    <row r="42" spans="1:6" ht="15" x14ac:dyDescent="0.25">
      <c r="A42" t="s">
        <v>202</v>
      </c>
      <c r="B42" s="342"/>
      <c r="C42" s="342"/>
      <c r="D42" s="342"/>
      <c r="E42" s="342"/>
    </row>
    <row r="43" spans="1:6" ht="54.75" customHeight="1" x14ac:dyDescent="0.25">
      <c r="F43" s="342"/>
    </row>
  </sheetData>
  <mergeCells count="10">
    <mergeCell ref="A39:E39"/>
    <mergeCell ref="D1:E1"/>
    <mergeCell ref="B37:E37"/>
    <mergeCell ref="A4:E4"/>
    <mergeCell ref="A5:E5"/>
    <mergeCell ref="A6:E6"/>
    <mergeCell ref="B11:E11"/>
    <mergeCell ref="A16:E19"/>
    <mergeCell ref="A23:E27"/>
    <mergeCell ref="A34:E34"/>
  </mergeCells>
  <pageMargins left="0.39370078740157483" right="0.39370078740157483" top="0.74803149606299213" bottom="0.74803149606299213" header="0.31496062992125984" footer="0.31496062992125984"/>
  <pageSetup paperSize="9" scale="99" fitToHeight="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29"/>
  <sheetViews>
    <sheetView workbookViewId="0">
      <selection activeCell="A16" sqref="A16:E16"/>
    </sheetView>
  </sheetViews>
  <sheetFormatPr defaultRowHeight="15.75" x14ac:dyDescent="0.25"/>
  <cols>
    <col min="1" max="1" width="7.140625" customWidth="1"/>
    <col min="2" max="2" width="40.140625" style="15" customWidth="1"/>
    <col min="3" max="3" width="16.7109375" style="15" customWidth="1"/>
    <col min="4" max="4" width="16.140625" style="25" customWidth="1"/>
    <col min="5" max="5" width="24.28515625" style="15" customWidth="1"/>
    <col min="6" max="6" width="10" bestFit="1" customWidth="1"/>
  </cols>
  <sheetData>
    <row r="1" spans="1:5" x14ac:dyDescent="0.25">
      <c r="D1" s="509" t="s">
        <v>230</v>
      </c>
      <c r="E1" s="509"/>
    </row>
    <row r="2" spans="1:5" x14ac:dyDescent="0.25">
      <c r="D2" t="s">
        <v>198</v>
      </c>
      <c r="E2" s="1"/>
    </row>
    <row r="3" spans="1:5" x14ac:dyDescent="0.25">
      <c r="B3" s="1"/>
      <c r="C3" s="1"/>
      <c r="D3" t="s">
        <v>271</v>
      </c>
      <c r="E3" s="1"/>
    </row>
    <row r="4" spans="1:5" x14ac:dyDescent="0.25">
      <c r="A4" s="511" t="s">
        <v>142</v>
      </c>
      <c r="B4" s="511"/>
      <c r="C4" s="511"/>
      <c r="D4" s="511"/>
      <c r="E4" s="511"/>
    </row>
    <row r="5" spans="1:5" ht="22.5" customHeight="1" x14ac:dyDescent="0.25">
      <c r="A5" s="573" t="s">
        <v>280</v>
      </c>
      <c r="B5" s="573"/>
      <c r="C5" s="573"/>
      <c r="D5" s="573"/>
      <c r="E5" s="573"/>
    </row>
    <row r="6" spans="1:5" ht="409.5" customHeight="1" x14ac:dyDescent="0.25">
      <c r="A6" s="501" t="s">
        <v>281</v>
      </c>
      <c r="B6" s="501"/>
      <c r="C6" s="501"/>
      <c r="D6" s="501"/>
      <c r="E6" s="501"/>
    </row>
    <row r="7" spans="1:5" x14ac:dyDescent="0.25">
      <c r="A7" s="519" t="s">
        <v>256</v>
      </c>
      <c r="B7" s="519"/>
      <c r="C7" s="519"/>
      <c r="D7" s="519"/>
      <c r="E7" s="519"/>
    </row>
    <row r="8" spans="1:5" x14ac:dyDescent="0.25">
      <c r="B8" s="330" t="s">
        <v>33</v>
      </c>
      <c r="C8" s="57">
        <f>D22</f>
        <v>10582.3</v>
      </c>
      <c r="D8" s="97" t="s">
        <v>37</v>
      </c>
      <c r="E8" s="330"/>
    </row>
    <row r="9" spans="1:5" s="11" customFormat="1" ht="30.75" customHeight="1" x14ac:dyDescent="0.25">
      <c r="A9" s="99" t="s">
        <v>24</v>
      </c>
      <c r="B9" s="10" t="s">
        <v>35</v>
      </c>
      <c r="C9" s="10" t="s">
        <v>1</v>
      </c>
      <c r="D9" s="113" t="s">
        <v>11</v>
      </c>
      <c r="E9" s="10" t="s">
        <v>5</v>
      </c>
    </row>
    <row r="10" spans="1:5" x14ac:dyDescent="0.25">
      <c r="B10" s="521" t="s">
        <v>17</v>
      </c>
      <c r="C10" s="522"/>
      <c r="D10" s="522"/>
      <c r="E10" s="523"/>
    </row>
    <row r="11" spans="1:5" x14ac:dyDescent="0.25">
      <c r="B11" s="3" t="s">
        <v>15</v>
      </c>
      <c r="C11" s="363">
        <v>158600</v>
      </c>
      <c r="D11" s="363">
        <v>158567.32</v>
      </c>
      <c r="E11" s="6">
        <f>C11-D11</f>
        <v>32.679999999993015</v>
      </c>
    </row>
    <row r="12" spans="1:5" x14ac:dyDescent="0.25">
      <c r="A12" s="41"/>
      <c r="B12" s="3" t="s">
        <v>71</v>
      </c>
      <c r="C12" s="363">
        <v>34900</v>
      </c>
      <c r="D12" s="363">
        <v>34884.82</v>
      </c>
      <c r="E12" s="6">
        <f t="shared" ref="E12:E21" si="0">C12-D12</f>
        <v>15.180000000000291</v>
      </c>
    </row>
    <row r="13" spans="1:5" x14ac:dyDescent="0.25">
      <c r="A13" s="41"/>
      <c r="B13" s="3" t="s">
        <v>111</v>
      </c>
      <c r="C13" s="100">
        <f>C11+C12</f>
        <v>193500</v>
      </c>
      <c r="D13" s="100">
        <f t="shared" ref="D13:E13" si="1">D11+D12</f>
        <v>193452.14</v>
      </c>
      <c r="E13" s="100">
        <f t="shared" si="1"/>
        <v>47.859999999993306</v>
      </c>
    </row>
    <row r="14" spans="1:5" x14ac:dyDescent="0.25">
      <c r="A14" s="85">
        <v>113132</v>
      </c>
      <c r="B14" s="5"/>
      <c r="C14" s="6"/>
      <c r="D14" s="6"/>
      <c r="E14" s="6"/>
    </row>
    <row r="15" spans="1:5" ht="31.5" x14ac:dyDescent="0.25">
      <c r="A15" s="41"/>
      <c r="B15" s="5" t="s">
        <v>160</v>
      </c>
      <c r="C15" s="362">
        <v>7500</v>
      </c>
      <c r="D15" s="363">
        <v>7469.82</v>
      </c>
      <c r="E15" s="6"/>
    </row>
    <row r="16" spans="1:5" x14ac:dyDescent="0.25">
      <c r="A16" s="588" t="s">
        <v>282</v>
      </c>
      <c r="B16" s="589"/>
      <c r="C16" s="589"/>
      <c r="D16" s="589"/>
      <c r="E16" s="590"/>
    </row>
    <row r="17" spans="1:6" x14ac:dyDescent="0.25">
      <c r="A17" s="41"/>
      <c r="B17" s="126" t="s">
        <v>113</v>
      </c>
      <c r="C17" s="100">
        <f>SUM(C15:C16)</f>
        <v>7500</v>
      </c>
      <c r="D17" s="100">
        <f>SUM(D15:D16)</f>
        <v>7469.82</v>
      </c>
      <c r="E17" s="100">
        <f>C17-D17</f>
        <v>30.180000000000291</v>
      </c>
    </row>
    <row r="18" spans="1:6" x14ac:dyDescent="0.25">
      <c r="A18" s="41"/>
      <c r="B18" s="126" t="s">
        <v>276</v>
      </c>
      <c r="C18" s="362">
        <v>1500</v>
      </c>
      <c r="D18" s="363">
        <v>1492.48</v>
      </c>
      <c r="E18" s="6"/>
    </row>
    <row r="19" spans="1:6" ht="15" x14ac:dyDescent="0.25">
      <c r="A19" s="591" t="s">
        <v>283</v>
      </c>
      <c r="B19" s="592"/>
      <c r="C19" s="592"/>
      <c r="D19" s="592"/>
      <c r="E19" s="593"/>
    </row>
    <row r="20" spans="1:6" x14ac:dyDescent="0.25">
      <c r="A20" s="41"/>
      <c r="B20" s="126" t="s">
        <v>161</v>
      </c>
      <c r="C20" s="100">
        <f>SUM(C18:C19)</f>
        <v>1500</v>
      </c>
      <c r="D20" s="100">
        <f>SUM(D18:D19)</f>
        <v>1492.48</v>
      </c>
      <c r="E20" s="100">
        <f>C20-D20</f>
        <v>7.5199999999999818</v>
      </c>
      <c r="F20" s="106"/>
    </row>
    <row r="21" spans="1:6" x14ac:dyDescent="0.25">
      <c r="A21" s="41"/>
      <c r="B21" s="3" t="s">
        <v>100</v>
      </c>
      <c r="C21" s="363">
        <v>2000</v>
      </c>
      <c r="D21" s="363">
        <v>1620</v>
      </c>
      <c r="E21" s="6">
        <f t="shared" si="0"/>
        <v>380</v>
      </c>
    </row>
    <row r="22" spans="1:6" ht="15.75" customHeight="1" x14ac:dyDescent="0.25">
      <c r="A22" s="41"/>
      <c r="B22" s="126" t="s">
        <v>163</v>
      </c>
      <c r="C22" s="35">
        <f>C17+C20+C21</f>
        <v>11000</v>
      </c>
      <c r="D22" s="35">
        <f>D17+D20+D21</f>
        <v>10582.3</v>
      </c>
      <c r="E22" s="35">
        <f>E17+E20+E21</f>
        <v>417.70000000000027</v>
      </c>
    </row>
    <row r="23" spans="1:6" x14ac:dyDescent="0.25">
      <c r="A23" s="63"/>
      <c r="B23" s="333" t="s">
        <v>40</v>
      </c>
      <c r="C23" s="67"/>
      <c r="D23" s="69">
        <f>D22/C22*100</f>
        <v>96.202727272727259</v>
      </c>
      <c r="E23" s="68" t="s">
        <v>39</v>
      </c>
    </row>
    <row r="24" spans="1:6" ht="15" customHeight="1" x14ac:dyDescent="0.25">
      <c r="B24" s="548"/>
      <c r="C24" s="548"/>
      <c r="D24" s="548"/>
      <c r="E24" s="548"/>
    </row>
    <row r="25" spans="1:6" ht="53.25" customHeight="1" x14ac:dyDescent="0.25">
      <c r="A25" s="513" t="s">
        <v>162</v>
      </c>
      <c r="B25" s="513"/>
      <c r="C25" s="513"/>
      <c r="D25" s="513"/>
      <c r="E25" s="513"/>
    </row>
    <row r="28" spans="1:6" x14ac:dyDescent="0.25">
      <c r="A28" t="s">
        <v>202</v>
      </c>
      <c r="C28" s="317"/>
      <c r="D28" s="318" t="s">
        <v>203</v>
      </c>
      <c r="E28" s="15" t="s">
        <v>204</v>
      </c>
    </row>
    <row r="29" spans="1:6" ht="54.75" customHeight="1" x14ac:dyDescent="0.25">
      <c r="B29" s="587"/>
      <c r="C29" s="587"/>
      <c r="D29" s="587"/>
      <c r="E29" s="587"/>
      <c r="F29" s="587"/>
    </row>
  </sheetData>
  <mergeCells count="11">
    <mergeCell ref="B24:E24"/>
    <mergeCell ref="A25:E25"/>
    <mergeCell ref="B29:F29"/>
    <mergeCell ref="D1:E1"/>
    <mergeCell ref="A4:E4"/>
    <mergeCell ref="A5:E5"/>
    <mergeCell ref="A6:E6"/>
    <mergeCell ref="A7:E7"/>
    <mergeCell ref="B10:E10"/>
    <mergeCell ref="A16:E16"/>
    <mergeCell ref="A19:E19"/>
  </mergeCells>
  <pageMargins left="0.39370078740157483" right="0.39370078740157483" top="0.74803149606299213" bottom="0.74803149606299213" header="0.31496062992125984" footer="0.31496062992125984"/>
  <pageSetup paperSize="9" scale="83" fitToHeight="2"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6"/>
  <sheetViews>
    <sheetView topLeftCell="A25" workbookViewId="0">
      <selection activeCell="H30" sqref="H30"/>
    </sheetView>
  </sheetViews>
  <sheetFormatPr defaultRowHeight="15.75" x14ac:dyDescent="0.25"/>
  <cols>
    <col min="1" max="1" width="7.140625" customWidth="1"/>
    <col min="2" max="2" width="38.5703125" style="15" customWidth="1"/>
    <col min="3" max="3" width="13.85546875" style="15" customWidth="1"/>
    <col min="4" max="4" width="14.140625" style="25" customWidth="1"/>
    <col min="5" max="5" width="12.85546875" style="15" customWidth="1"/>
    <col min="6" max="6" width="10" bestFit="1" customWidth="1"/>
  </cols>
  <sheetData>
    <row r="1" spans="1:5" x14ac:dyDescent="0.25">
      <c r="D1" s="509" t="s">
        <v>226</v>
      </c>
      <c r="E1" s="509"/>
    </row>
    <row r="2" spans="1:5" x14ac:dyDescent="0.25">
      <c r="D2" t="s">
        <v>198</v>
      </c>
      <c r="E2" s="1"/>
    </row>
    <row r="3" spans="1:5" x14ac:dyDescent="0.25">
      <c r="B3" s="1"/>
      <c r="C3" s="1"/>
      <c r="D3" t="s">
        <v>289</v>
      </c>
      <c r="E3" s="1"/>
    </row>
    <row r="4" spans="1:5" x14ac:dyDescent="0.25">
      <c r="A4" s="503" t="s">
        <v>143</v>
      </c>
      <c r="B4" s="503"/>
      <c r="C4" s="503"/>
      <c r="D4" s="503"/>
      <c r="E4" s="503"/>
    </row>
    <row r="5" spans="1:5" ht="33" customHeight="1" x14ac:dyDescent="0.25">
      <c r="A5" s="573" t="s">
        <v>241</v>
      </c>
      <c r="B5" s="573"/>
      <c r="C5" s="573"/>
      <c r="D5" s="573"/>
      <c r="E5" s="573"/>
    </row>
    <row r="6" spans="1:5" ht="399.95" customHeight="1" x14ac:dyDescent="0.25">
      <c r="A6" s="548" t="s">
        <v>290</v>
      </c>
      <c r="B6" s="548"/>
      <c r="C6" s="548"/>
      <c r="D6" s="548"/>
      <c r="E6" s="548"/>
    </row>
    <row r="7" spans="1:5" x14ac:dyDescent="0.25">
      <c r="A7" s="519" t="s">
        <v>256</v>
      </c>
      <c r="B7" s="519"/>
      <c r="C7" s="519"/>
      <c r="D7" s="519"/>
      <c r="E7" s="519"/>
    </row>
    <row r="8" spans="1:5" x14ac:dyDescent="0.25">
      <c r="B8" s="131" t="s">
        <v>33</v>
      </c>
      <c r="C8" s="57">
        <f>D36</f>
        <v>8268919.9399999995</v>
      </c>
      <c r="D8" s="131" t="s">
        <v>37</v>
      </c>
      <c r="E8" s="131"/>
    </row>
    <row r="9" spans="1:5" ht="18.75" customHeight="1" x14ac:dyDescent="0.25">
      <c r="B9" s="53" t="s">
        <v>34</v>
      </c>
      <c r="C9" s="121">
        <f>D41</f>
        <v>0</v>
      </c>
      <c r="D9" s="132"/>
      <c r="E9" s="132"/>
    </row>
    <row r="10" spans="1:5" x14ac:dyDescent="0.25">
      <c r="B10" s="1"/>
      <c r="C10" s="1"/>
      <c r="D10" s="23"/>
      <c r="E10" s="1"/>
    </row>
    <row r="11" spans="1:5" ht="30.75" customHeight="1" x14ac:dyDescent="0.25">
      <c r="A11" s="54" t="s">
        <v>24</v>
      </c>
      <c r="B11" s="10" t="s">
        <v>35</v>
      </c>
      <c r="C11" s="2" t="s">
        <v>8</v>
      </c>
      <c r="D11" s="24" t="s">
        <v>117</v>
      </c>
      <c r="E11" s="2" t="s">
        <v>5</v>
      </c>
    </row>
    <row r="12" spans="1:5" x14ac:dyDescent="0.25">
      <c r="B12" s="521" t="s">
        <v>17</v>
      </c>
      <c r="C12" s="522"/>
      <c r="D12" s="522"/>
      <c r="E12" s="523"/>
    </row>
    <row r="13" spans="1:5" x14ac:dyDescent="0.25">
      <c r="A13" s="85">
        <v>112111</v>
      </c>
      <c r="B13" s="291" t="s">
        <v>105</v>
      </c>
      <c r="C13" s="249"/>
      <c r="D13" s="249"/>
      <c r="E13" s="249"/>
    </row>
    <row r="14" spans="1:5" x14ac:dyDescent="0.25">
      <c r="B14" s="3" t="s">
        <v>61</v>
      </c>
      <c r="C14" s="372">
        <v>5835091</v>
      </c>
      <c r="D14" s="373">
        <v>5835091</v>
      </c>
      <c r="E14" s="370">
        <f>C14-D14</f>
        <v>0</v>
      </c>
    </row>
    <row r="15" spans="1:5" x14ac:dyDescent="0.25">
      <c r="A15" s="41"/>
      <c r="B15" s="3" t="s">
        <v>71</v>
      </c>
      <c r="C15" s="372">
        <v>1247639</v>
      </c>
      <c r="D15" s="373">
        <v>1226995.26</v>
      </c>
      <c r="E15" s="370">
        <f>C15-D15</f>
        <v>20643.739999999991</v>
      </c>
    </row>
    <row r="16" spans="1:5" x14ac:dyDescent="0.25">
      <c r="A16" s="41"/>
      <c r="B16" s="5" t="s">
        <v>111</v>
      </c>
      <c r="C16" s="374">
        <f>C14+C15</f>
        <v>7082730</v>
      </c>
      <c r="D16" s="374">
        <f>D14+D15</f>
        <v>7062086.2599999998</v>
      </c>
      <c r="E16" s="100">
        <f>E14+E15</f>
        <v>20643.739999999991</v>
      </c>
    </row>
    <row r="17" spans="1:6" x14ac:dyDescent="0.25">
      <c r="A17" s="41"/>
      <c r="B17" s="153" t="s">
        <v>104</v>
      </c>
      <c r="C17" s="374"/>
      <c r="D17" s="374"/>
      <c r="E17" s="100"/>
    </row>
    <row r="18" spans="1:6" ht="17.45" customHeight="1" x14ac:dyDescent="0.25">
      <c r="A18" s="41"/>
      <c r="B18" s="3" t="s">
        <v>88</v>
      </c>
      <c r="C18" s="372">
        <v>13100</v>
      </c>
      <c r="D18" s="375">
        <v>13018.75</v>
      </c>
      <c r="E18" s="370">
        <f>C18-D18</f>
        <v>81.25</v>
      </c>
      <c r="F18" s="106"/>
    </row>
    <row r="19" spans="1:6" x14ac:dyDescent="0.25">
      <c r="A19" s="41"/>
      <c r="B19" s="3" t="s">
        <v>89</v>
      </c>
      <c r="C19" s="372">
        <v>481130</v>
      </c>
      <c r="D19" s="375">
        <v>326901.99</v>
      </c>
      <c r="E19" s="370">
        <f>C19-D19</f>
        <v>154228.01</v>
      </c>
    </row>
    <row r="20" spans="1:6" x14ac:dyDescent="0.25">
      <c r="A20" s="41"/>
      <c r="B20" s="3" t="s">
        <v>47</v>
      </c>
      <c r="C20" s="372">
        <v>198600</v>
      </c>
      <c r="D20" s="375">
        <v>92850.39</v>
      </c>
      <c r="E20" s="370">
        <f>C20-D20</f>
        <v>105749.61</v>
      </c>
    </row>
    <row r="21" spans="1:6" ht="29.25" customHeight="1" x14ac:dyDescent="0.25">
      <c r="A21" s="41"/>
      <c r="B21" s="22" t="s">
        <v>291</v>
      </c>
      <c r="C21" s="372">
        <v>157000</v>
      </c>
      <c r="D21" s="375">
        <v>95546.89</v>
      </c>
      <c r="E21" s="370">
        <f>C21-D21</f>
        <v>61453.11</v>
      </c>
    </row>
    <row r="22" spans="1:6" x14ac:dyDescent="0.25">
      <c r="A22" s="41"/>
      <c r="B22" s="126" t="s">
        <v>112</v>
      </c>
      <c r="C22" s="374">
        <f>SUM(C18:C21)</f>
        <v>849830</v>
      </c>
      <c r="D22" s="374">
        <f>SUM(D18:D21)</f>
        <v>528318.02</v>
      </c>
      <c r="E22" s="100">
        <f>SUM(E18:E21)</f>
        <v>321511.98</v>
      </c>
    </row>
    <row r="23" spans="1:6" x14ac:dyDescent="0.25">
      <c r="A23" s="41"/>
      <c r="B23" s="5" t="s">
        <v>93</v>
      </c>
      <c r="C23" s="376">
        <v>10097</v>
      </c>
      <c r="D23" s="374">
        <v>0</v>
      </c>
      <c r="E23" s="100">
        <f>C23-D23</f>
        <v>10097</v>
      </c>
    </row>
    <row r="24" spans="1:6" ht="31.5" x14ac:dyDescent="0.25">
      <c r="A24" s="41"/>
      <c r="B24" s="126" t="s">
        <v>292</v>
      </c>
      <c r="C24" s="377">
        <v>284250</v>
      </c>
      <c r="D24" s="378">
        <v>216806.39999999999</v>
      </c>
      <c r="E24" s="100">
        <f>C24-D24</f>
        <v>67443.600000000006</v>
      </c>
      <c r="F24" s="106"/>
    </row>
    <row r="25" spans="1:6" ht="15.75" customHeight="1" x14ac:dyDescent="0.25">
      <c r="A25" s="536" t="s">
        <v>313</v>
      </c>
      <c r="B25" s="537"/>
      <c r="C25" s="537"/>
      <c r="D25" s="537"/>
      <c r="E25" s="538"/>
    </row>
    <row r="26" spans="1:6" ht="15.75" customHeight="1" x14ac:dyDescent="0.25">
      <c r="A26" s="539"/>
      <c r="B26" s="540"/>
      <c r="C26" s="540"/>
      <c r="D26" s="540"/>
      <c r="E26" s="541"/>
    </row>
    <row r="27" spans="1:6" ht="5.25" customHeight="1" x14ac:dyDescent="0.25">
      <c r="A27" s="542"/>
      <c r="B27" s="543"/>
      <c r="C27" s="543"/>
      <c r="D27" s="543"/>
      <c r="E27" s="544"/>
    </row>
    <row r="28" spans="1:6" x14ac:dyDescent="0.25">
      <c r="A28" s="61"/>
      <c r="B28" s="149" t="s">
        <v>113</v>
      </c>
      <c r="C28" s="150">
        <f>+C24</f>
        <v>284250</v>
      </c>
      <c r="D28" s="150">
        <f>+D24</f>
        <v>216806.39999999999</v>
      </c>
      <c r="E28" s="150">
        <f>+C28-D28</f>
        <v>67443.600000000006</v>
      </c>
    </row>
    <row r="29" spans="1:6" ht="17.25" customHeight="1" x14ac:dyDescent="0.25">
      <c r="A29" s="41"/>
      <c r="B29" s="149" t="s">
        <v>317</v>
      </c>
      <c r="C29" s="371">
        <v>657400</v>
      </c>
      <c r="D29" s="379">
        <v>461709.26</v>
      </c>
      <c r="E29" s="100">
        <f>+C29-D29</f>
        <v>195690.74</v>
      </c>
    </row>
    <row r="30" spans="1:6" ht="15.75" customHeight="1" x14ac:dyDescent="0.25">
      <c r="A30" s="539" t="s">
        <v>314</v>
      </c>
      <c r="B30" s="540"/>
      <c r="C30" s="540"/>
      <c r="D30" s="540"/>
      <c r="E30" s="541"/>
    </row>
    <row r="31" spans="1:6" ht="30.95" customHeight="1" x14ac:dyDescent="0.25">
      <c r="A31" s="539"/>
      <c r="B31" s="540"/>
      <c r="C31" s="540"/>
      <c r="D31" s="540"/>
      <c r="E31" s="541"/>
    </row>
    <row r="32" spans="1:6" ht="17.45" customHeight="1" x14ac:dyDescent="0.25">
      <c r="A32" s="539"/>
      <c r="B32" s="540"/>
      <c r="C32" s="540"/>
      <c r="D32" s="540"/>
      <c r="E32" s="541"/>
    </row>
    <row r="33" spans="1:6" ht="63" customHeight="1" x14ac:dyDescent="0.25">
      <c r="A33" s="542"/>
      <c r="B33" s="543"/>
      <c r="C33" s="543"/>
      <c r="D33" s="543"/>
      <c r="E33" s="544"/>
    </row>
    <row r="34" spans="1:6" x14ac:dyDescent="0.25">
      <c r="A34" s="41"/>
      <c r="B34" s="126" t="s">
        <v>194</v>
      </c>
      <c r="C34" s="35">
        <f>SUM(C29:C33)</f>
        <v>657400</v>
      </c>
      <c r="D34" s="35">
        <f>SUM(D29:D33)</f>
        <v>461709.26</v>
      </c>
      <c r="E34" s="100">
        <f>C34-D34</f>
        <v>195690.74</v>
      </c>
    </row>
    <row r="35" spans="1:6" x14ac:dyDescent="0.25">
      <c r="A35" s="41"/>
      <c r="B35" s="22" t="s">
        <v>100</v>
      </c>
      <c r="C35" s="371">
        <v>7000</v>
      </c>
      <c r="D35" s="380">
        <v>0</v>
      </c>
      <c r="E35" s="100">
        <f>C35-D35</f>
        <v>7000</v>
      </c>
      <c r="F35" s="106"/>
    </row>
    <row r="36" spans="1:6" x14ac:dyDescent="0.25">
      <c r="A36" s="41"/>
      <c r="B36" s="250" t="s">
        <v>16</v>
      </c>
      <c r="C36" s="35">
        <f>C16+C22+C28+C34+C35+C23</f>
        <v>8891307</v>
      </c>
      <c r="D36" s="35">
        <f>D16+D22+D28+D34+D35+D23</f>
        <v>8268919.9399999995</v>
      </c>
      <c r="E36" s="35">
        <f>E16+E22+E28+E34+E23+E35</f>
        <v>622387.05999999994</v>
      </c>
      <c r="F36" s="106"/>
    </row>
    <row r="37" spans="1:6" x14ac:dyDescent="0.25">
      <c r="A37" s="552" t="s">
        <v>18</v>
      </c>
      <c r="B37" s="552"/>
      <c r="C37" s="552"/>
      <c r="D37" s="552"/>
      <c r="E37" s="552"/>
    </row>
    <row r="38" spans="1:6" ht="32.25" customHeight="1" x14ac:dyDescent="0.25">
      <c r="A38" s="84"/>
      <c r="B38" s="1"/>
      <c r="C38" s="31"/>
      <c r="D38" s="31"/>
      <c r="E38" s="31"/>
    </row>
    <row r="39" spans="1:6" x14ac:dyDescent="0.25">
      <c r="A39" s="82"/>
      <c r="B39" s="22"/>
      <c r="C39" s="31"/>
      <c r="D39" s="31"/>
      <c r="E39" s="31">
        <f>C39-D39</f>
        <v>0</v>
      </c>
    </row>
    <row r="40" spans="1:6" x14ac:dyDescent="0.25">
      <c r="A40" s="82"/>
      <c r="B40" s="86" t="s">
        <v>42</v>
      </c>
      <c r="C40" s="89">
        <f>SUM(C38:C39)</f>
        <v>0</v>
      </c>
      <c r="D40" s="89">
        <f>SUM(D38:D39)</f>
        <v>0</v>
      </c>
      <c r="E40" s="89">
        <f>SUM(E38:E39)</f>
        <v>0</v>
      </c>
    </row>
    <row r="41" spans="1:6" x14ac:dyDescent="0.25">
      <c r="A41" s="41"/>
      <c r="B41" s="248" t="s">
        <v>19</v>
      </c>
      <c r="C41" s="35">
        <f>C40</f>
        <v>0</v>
      </c>
      <c r="D41" s="35">
        <f>D40</f>
        <v>0</v>
      </c>
      <c r="E41" s="35">
        <f>E40</f>
        <v>0</v>
      </c>
    </row>
    <row r="42" spans="1:6" x14ac:dyDescent="0.25">
      <c r="A42" s="41"/>
      <c r="B42" s="250" t="s">
        <v>110</v>
      </c>
      <c r="C42" s="35">
        <f>C36+C41</f>
        <v>8891307</v>
      </c>
      <c r="D42" s="35">
        <f t="shared" ref="D42" si="0">D36+D41</f>
        <v>8268919.9399999995</v>
      </c>
      <c r="E42" s="35">
        <f>E36+E41</f>
        <v>622387.05999999994</v>
      </c>
    </row>
    <row r="43" spans="1:6" x14ac:dyDescent="0.25">
      <c r="A43" s="41"/>
      <c r="B43" s="65" t="s">
        <v>40</v>
      </c>
      <c r="C43" s="66"/>
      <c r="D43" s="70">
        <f>D42/C42*100</f>
        <v>93.000049823946</v>
      </c>
      <c r="E43" s="71" t="s">
        <v>39</v>
      </c>
    </row>
    <row r="44" spans="1:6" ht="57.6" customHeight="1" x14ac:dyDescent="0.25">
      <c r="A44" s="576" t="s">
        <v>293</v>
      </c>
      <c r="B44" s="576"/>
      <c r="C44" s="576"/>
      <c r="D44" s="576"/>
      <c r="E44" s="576"/>
    </row>
    <row r="45" spans="1:6" ht="18.75" customHeight="1" x14ac:dyDescent="0.25">
      <c r="A45" t="s">
        <v>202</v>
      </c>
      <c r="B45" s="49"/>
      <c r="C45" s="217"/>
      <c r="D45" s="137" t="s">
        <v>203</v>
      </c>
      <c r="E45" s="49" t="s">
        <v>204</v>
      </c>
    </row>
    <row r="46" spans="1:6" ht="78" customHeight="1" x14ac:dyDescent="0.25"/>
  </sheetData>
  <mergeCells count="10">
    <mergeCell ref="D1:E1"/>
    <mergeCell ref="A4:E4"/>
    <mergeCell ref="A44:E44"/>
    <mergeCell ref="A37:E37"/>
    <mergeCell ref="A5:E5"/>
    <mergeCell ref="A6:E6"/>
    <mergeCell ref="A7:E7"/>
    <mergeCell ref="B12:E12"/>
    <mergeCell ref="A25:E27"/>
    <mergeCell ref="A30:E3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9"/>
  <sheetViews>
    <sheetView topLeftCell="A23" workbookViewId="0">
      <selection activeCell="I35" sqref="I35"/>
    </sheetView>
  </sheetViews>
  <sheetFormatPr defaultRowHeight="15.75" x14ac:dyDescent="0.25"/>
  <cols>
    <col min="1" max="1" width="7.140625" customWidth="1"/>
    <col min="2" max="2" width="34" style="15" customWidth="1"/>
    <col min="3" max="3" width="17.140625" style="15" customWidth="1"/>
    <col min="4" max="4" width="17.140625" style="25" customWidth="1"/>
    <col min="5" max="5" width="14.85546875" style="15" customWidth="1"/>
    <col min="6" max="6" width="10" bestFit="1" customWidth="1"/>
    <col min="8" max="8" width="8.140625" customWidth="1"/>
  </cols>
  <sheetData>
    <row r="1" spans="1:6" x14ac:dyDescent="0.25">
      <c r="D1" s="509" t="s">
        <v>221</v>
      </c>
      <c r="E1" s="509"/>
    </row>
    <row r="2" spans="1:6" x14ac:dyDescent="0.25">
      <c r="D2" t="s">
        <v>198</v>
      </c>
      <c r="E2" s="1"/>
    </row>
    <row r="3" spans="1:6" x14ac:dyDescent="0.25">
      <c r="B3" s="1"/>
      <c r="C3" s="1"/>
      <c r="D3" t="s">
        <v>199</v>
      </c>
      <c r="E3" s="1"/>
    </row>
    <row r="4" spans="1:6" x14ac:dyDescent="0.25">
      <c r="A4" s="503" t="s">
        <v>143</v>
      </c>
      <c r="B4" s="503"/>
      <c r="C4" s="503"/>
      <c r="D4" s="503"/>
      <c r="E4" s="503"/>
    </row>
    <row r="5" spans="1:6" ht="33" customHeight="1" x14ac:dyDescent="0.25">
      <c r="A5" s="503" t="s">
        <v>318</v>
      </c>
      <c r="B5" s="503"/>
      <c r="C5" s="503"/>
      <c r="D5" s="503"/>
      <c r="E5" s="503"/>
    </row>
    <row r="6" spans="1:6" ht="330" customHeight="1" x14ac:dyDescent="0.25">
      <c r="A6" s="574" t="s">
        <v>321</v>
      </c>
      <c r="B6" s="574"/>
      <c r="C6" s="574"/>
      <c r="D6" s="574"/>
      <c r="E6" s="574"/>
    </row>
    <row r="7" spans="1:6" x14ac:dyDescent="0.25">
      <c r="A7" s="49" t="s">
        <v>256</v>
      </c>
      <c r="B7" s="49"/>
      <c r="C7" s="49"/>
      <c r="D7" s="366">
        <f>+C8+C9</f>
        <v>13035547.069999998</v>
      </c>
      <c r="E7" s="49" t="s">
        <v>37</v>
      </c>
    </row>
    <row r="8" spans="1:6" x14ac:dyDescent="0.25">
      <c r="B8" s="131" t="s">
        <v>33</v>
      </c>
      <c r="C8" s="57">
        <f>+D37</f>
        <v>9358174.0699999984</v>
      </c>
      <c r="D8" s="49" t="s">
        <v>37</v>
      </c>
      <c r="E8" s="131"/>
    </row>
    <row r="9" spans="1:6" x14ac:dyDescent="0.25">
      <c r="B9" s="393" t="s">
        <v>34</v>
      </c>
      <c r="C9" s="57">
        <f>+D44</f>
        <v>3677373</v>
      </c>
      <c r="D9" s="49" t="s">
        <v>37</v>
      </c>
      <c r="E9" s="392"/>
    </row>
    <row r="10" spans="1:6" ht="30.75" customHeight="1" x14ac:dyDescent="0.25">
      <c r="A10" s="54" t="s">
        <v>24</v>
      </c>
      <c r="B10" s="10" t="s">
        <v>35</v>
      </c>
      <c r="C10" s="2" t="s">
        <v>1</v>
      </c>
      <c r="D10" s="24" t="s">
        <v>11</v>
      </c>
      <c r="E10" s="2" t="s">
        <v>5</v>
      </c>
    </row>
    <row r="11" spans="1:6" x14ac:dyDescent="0.25">
      <c r="A11" s="41"/>
      <c r="B11" s="551" t="s">
        <v>17</v>
      </c>
      <c r="C11" s="551"/>
      <c r="D11" s="551"/>
      <c r="E11" s="551"/>
    </row>
    <row r="12" spans="1:6" x14ac:dyDescent="0.25">
      <c r="A12" s="85">
        <v>112151</v>
      </c>
      <c r="B12" s="153" t="s">
        <v>104</v>
      </c>
      <c r="C12" s="6"/>
      <c r="D12" s="6"/>
      <c r="E12" s="6"/>
    </row>
    <row r="13" spans="1:6" x14ac:dyDescent="0.25">
      <c r="A13" s="41"/>
      <c r="B13" s="3" t="s">
        <v>89</v>
      </c>
      <c r="C13" s="31">
        <v>830340</v>
      </c>
      <c r="D13" s="32">
        <v>219609.69</v>
      </c>
      <c r="E13" s="6">
        <f>+C13-D13</f>
        <v>610730.31000000006</v>
      </c>
    </row>
    <row r="14" spans="1:6" x14ac:dyDescent="0.25">
      <c r="A14" s="41"/>
      <c r="B14" s="3" t="s">
        <v>47</v>
      </c>
      <c r="C14" s="6">
        <v>1008290</v>
      </c>
      <c r="D14" s="6">
        <v>51569.21</v>
      </c>
      <c r="E14" s="6">
        <f t="shared" ref="E14:E17" si="0">+C14-D14</f>
        <v>956720.79</v>
      </c>
    </row>
    <row r="15" spans="1:6" ht="27" customHeight="1" x14ac:dyDescent="0.25">
      <c r="A15" s="41"/>
      <c r="B15" s="3" t="s">
        <v>88</v>
      </c>
      <c r="C15" s="6">
        <v>132345</v>
      </c>
      <c r="D15" s="6">
        <v>29380.35</v>
      </c>
      <c r="E15" s="6">
        <f t="shared" si="0"/>
        <v>102964.65</v>
      </c>
      <c r="F15" s="106"/>
    </row>
    <row r="16" spans="1:6" hidden="1" x14ac:dyDescent="0.25">
      <c r="A16" s="41"/>
      <c r="B16" s="3"/>
      <c r="C16" s="6"/>
      <c r="D16" s="6"/>
      <c r="E16" s="6">
        <f t="shared" si="0"/>
        <v>0</v>
      </c>
      <c r="F16" s="106"/>
    </row>
    <row r="17" spans="1:5" x14ac:dyDescent="0.25">
      <c r="A17" s="41"/>
      <c r="B17" s="22" t="s">
        <v>90</v>
      </c>
      <c r="C17" s="6">
        <v>242000</v>
      </c>
      <c r="D17" s="6">
        <v>176649.51</v>
      </c>
      <c r="E17" s="6">
        <f t="shared" si="0"/>
        <v>65350.489999999991</v>
      </c>
    </row>
    <row r="18" spans="1:5" x14ac:dyDescent="0.25">
      <c r="A18" s="41"/>
      <c r="B18" s="196" t="s">
        <v>112</v>
      </c>
      <c r="C18" s="100">
        <f>C13+C14+C15+C16+C17</f>
        <v>2212975</v>
      </c>
      <c r="D18" s="100">
        <f>D13+D14+D15+D16+D17</f>
        <v>477208.76</v>
      </c>
      <c r="E18" s="100">
        <f>C18-D18</f>
        <v>1735766.24</v>
      </c>
    </row>
    <row r="19" spans="1:5" x14ac:dyDescent="0.25">
      <c r="A19" s="41"/>
      <c r="B19" s="196" t="s">
        <v>236</v>
      </c>
      <c r="C19" s="100">
        <f>C18</f>
        <v>2212975</v>
      </c>
      <c r="D19" s="100">
        <f t="shared" ref="D19:E19" si="1">D18</f>
        <v>477208.76</v>
      </c>
      <c r="E19" s="100">
        <f t="shared" si="1"/>
        <v>1735766.24</v>
      </c>
    </row>
    <row r="20" spans="1:5" x14ac:dyDescent="0.25">
      <c r="A20" s="85">
        <v>112152</v>
      </c>
      <c r="B20" s="291" t="s">
        <v>105</v>
      </c>
      <c r="C20" s="100"/>
      <c r="D20" s="100"/>
      <c r="E20" s="6"/>
    </row>
    <row r="21" spans="1:5" x14ac:dyDescent="0.25">
      <c r="A21" s="41"/>
      <c r="B21" s="3" t="s">
        <v>15</v>
      </c>
      <c r="C21" s="6">
        <v>6731023</v>
      </c>
      <c r="D21" s="6">
        <v>6731016.8099999996</v>
      </c>
      <c r="E21" s="6"/>
    </row>
    <row r="22" spans="1:5" x14ac:dyDescent="0.25">
      <c r="A22" s="41"/>
      <c r="B22" s="3" t="s">
        <v>71</v>
      </c>
      <c r="C22" s="6">
        <v>1480826</v>
      </c>
      <c r="D22" s="6">
        <v>1471046.17</v>
      </c>
      <c r="E22" s="6"/>
    </row>
    <row r="23" spans="1:5" x14ac:dyDescent="0.25">
      <c r="A23" s="41"/>
      <c r="B23" s="196" t="s">
        <v>111</v>
      </c>
      <c r="C23" s="100">
        <f>C21+C22</f>
        <v>8211849</v>
      </c>
      <c r="D23" s="100">
        <f t="shared" ref="D23" si="2">D21+D22</f>
        <v>8202062.9799999995</v>
      </c>
      <c r="E23" s="100">
        <f>C23-D23</f>
        <v>9786.0200000004843</v>
      </c>
    </row>
    <row r="24" spans="1:5" x14ac:dyDescent="0.25">
      <c r="A24" s="41"/>
      <c r="C24" s="100"/>
      <c r="D24" s="100"/>
      <c r="E24" s="6"/>
    </row>
    <row r="25" spans="1:5" x14ac:dyDescent="0.25">
      <c r="A25" s="41"/>
      <c r="B25" s="126" t="s">
        <v>93</v>
      </c>
      <c r="C25" s="387">
        <v>637950</v>
      </c>
      <c r="D25" s="388">
        <f>38250+14562+49074.08+5675.28</f>
        <v>107561.36</v>
      </c>
      <c r="E25" s="246">
        <f>+C25-D25</f>
        <v>530388.64</v>
      </c>
    </row>
    <row r="26" spans="1:5" ht="32.25" customHeight="1" x14ac:dyDescent="0.25">
      <c r="A26" s="41"/>
      <c r="B26" s="545" t="s">
        <v>315</v>
      </c>
      <c r="C26" s="546"/>
      <c r="D26" s="546"/>
      <c r="E26" s="547"/>
    </row>
    <row r="27" spans="1:5" ht="17.25" customHeight="1" x14ac:dyDescent="0.25">
      <c r="A27" s="41"/>
      <c r="B27" s="291" t="s">
        <v>183</v>
      </c>
      <c r="C27" s="387">
        <v>82360</v>
      </c>
      <c r="D27" s="388">
        <f>32183.46+10494.3+10982.58+16096.32</f>
        <v>69756.66</v>
      </c>
      <c r="E27" s="100">
        <f>+C27-D27</f>
        <v>12603.339999999997</v>
      </c>
    </row>
    <row r="28" spans="1:5" ht="31.5" customHeight="1" x14ac:dyDescent="0.25">
      <c r="A28" s="41"/>
      <c r="B28" s="545" t="s">
        <v>316</v>
      </c>
      <c r="C28" s="546"/>
      <c r="D28" s="546"/>
      <c r="E28" s="547"/>
    </row>
    <row r="29" spans="1:5" ht="31.5" x14ac:dyDescent="0.25">
      <c r="A29" s="41"/>
      <c r="B29" s="292" t="s">
        <v>317</v>
      </c>
      <c r="C29" s="389">
        <v>619177.48</v>
      </c>
      <c r="D29" s="390">
        <v>501584.31</v>
      </c>
      <c r="E29" s="391">
        <f>+C29-D29</f>
        <v>117593.16999999998</v>
      </c>
    </row>
    <row r="30" spans="1:5" ht="31.5" customHeight="1" x14ac:dyDescent="0.25">
      <c r="A30" s="41"/>
      <c r="B30" s="594" t="s">
        <v>319</v>
      </c>
      <c r="C30" s="595"/>
      <c r="D30" s="595"/>
      <c r="E30" s="596"/>
    </row>
    <row r="31" spans="1:5" ht="15.75" customHeight="1" x14ac:dyDescent="0.25">
      <c r="A31" s="41"/>
      <c r="B31" s="597"/>
      <c r="C31" s="598"/>
      <c r="D31" s="598"/>
      <c r="E31" s="599"/>
    </row>
    <row r="32" spans="1:5" ht="15.75" customHeight="1" x14ac:dyDescent="0.25">
      <c r="A32" s="41"/>
      <c r="B32" s="597"/>
      <c r="C32" s="598"/>
      <c r="D32" s="598"/>
      <c r="E32" s="599"/>
    </row>
    <row r="33" spans="1:5" ht="15.75" customHeight="1" x14ac:dyDescent="0.25">
      <c r="A33" s="41"/>
      <c r="B33" s="597"/>
      <c r="C33" s="598"/>
      <c r="D33" s="598"/>
      <c r="E33" s="599"/>
    </row>
    <row r="34" spans="1:5" ht="15.75" customHeight="1" x14ac:dyDescent="0.25">
      <c r="A34" s="41"/>
      <c r="B34" s="597"/>
      <c r="C34" s="598"/>
      <c r="D34" s="598"/>
      <c r="E34" s="599"/>
    </row>
    <row r="35" spans="1:5" ht="54.75" customHeight="1" x14ac:dyDescent="0.25">
      <c r="A35" s="41"/>
      <c r="B35" s="600"/>
      <c r="C35" s="601"/>
      <c r="D35" s="601"/>
      <c r="E35" s="602"/>
    </row>
    <row r="36" spans="1:5" x14ac:dyDescent="0.25">
      <c r="A36" s="63"/>
      <c r="B36" s="250" t="s">
        <v>235</v>
      </c>
      <c r="C36" s="35">
        <f>+C29+C27+C25+C23</f>
        <v>9551336.4800000004</v>
      </c>
      <c r="D36" s="35">
        <f>+D29+D27+D25+D23</f>
        <v>8880965.3099999987</v>
      </c>
      <c r="E36" s="35">
        <f>C36-D36</f>
        <v>670371.17000000179</v>
      </c>
    </row>
    <row r="37" spans="1:5" x14ac:dyDescent="0.25">
      <c r="A37" s="63"/>
      <c r="B37" s="250" t="s">
        <v>16</v>
      </c>
      <c r="C37" s="35">
        <f>+C36+C19</f>
        <v>11764311.48</v>
      </c>
      <c r="D37" s="35">
        <f t="shared" ref="D37:E37" si="3">+D36+D19</f>
        <v>9358174.0699999984</v>
      </c>
      <c r="E37" s="35">
        <f t="shared" si="3"/>
        <v>2406137.410000002</v>
      </c>
    </row>
    <row r="38" spans="1:5" x14ac:dyDescent="0.25">
      <c r="A38" s="552" t="s">
        <v>18</v>
      </c>
      <c r="B38" s="552"/>
      <c r="C38" s="552"/>
      <c r="D38" s="552"/>
      <c r="E38" s="552"/>
    </row>
    <row r="39" spans="1:5" x14ac:dyDescent="0.25">
      <c r="A39" s="84">
        <v>112152</v>
      </c>
      <c r="B39" s="172" t="s">
        <v>320</v>
      </c>
      <c r="C39" s="361">
        <v>112379.7</v>
      </c>
      <c r="D39" s="361">
        <v>112373</v>
      </c>
      <c r="E39" s="410">
        <f>+C39-D39</f>
        <v>6.6999999999970896</v>
      </c>
    </row>
    <row r="40" spans="1:5" ht="29.25" customHeight="1" x14ac:dyDescent="0.25">
      <c r="A40" s="82"/>
      <c r="B40" s="603" t="s">
        <v>385</v>
      </c>
      <c r="C40" s="604"/>
      <c r="D40" s="604"/>
      <c r="E40" s="605"/>
    </row>
    <row r="41" spans="1:5" ht="19.5" customHeight="1" x14ac:dyDescent="0.25">
      <c r="A41" s="82"/>
      <c r="B41" s="86" t="s">
        <v>42</v>
      </c>
      <c r="C41" s="409">
        <f>+C39</f>
        <v>112379.7</v>
      </c>
      <c r="D41" s="409">
        <f t="shared" ref="D41:E41" si="4">+D39</f>
        <v>112373</v>
      </c>
      <c r="E41" s="411">
        <f t="shared" si="4"/>
        <v>6.6999999999970896</v>
      </c>
    </row>
    <row r="42" spans="1:5" ht="29.25" customHeight="1" x14ac:dyDescent="0.25">
      <c r="A42" s="82">
        <v>117670</v>
      </c>
      <c r="B42" s="396" t="s">
        <v>348</v>
      </c>
      <c r="C42" s="397">
        <v>3600000</v>
      </c>
      <c r="D42" s="397">
        <v>3565000</v>
      </c>
      <c r="E42" s="412">
        <f>+C42-D42</f>
        <v>35000</v>
      </c>
    </row>
    <row r="43" spans="1:5" ht="18" customHeight="1" x14ac:dyDescent="0.25">
      <c r="A43" s="82"/>
      <c r="B43" s="86" t="s">
        <v>42</v>
      </c>
      <c r="C43" s="409">
        <f>+C42</f>
        <v>3600000</v>
      </c>
      <c r="D43" s="409">
        <f>+D42</f>
        <v>3565000</v>
      </c>
      <c r="E43" s="411">
        <f>+C43-D43</f>
        <v>35000</v>
      </c>
    </row>
    <row r="44" spans="1:5" x14ac:dyDescent="0.25">
      <c r="A44" s="41"/>
      <c r="B44" s="394" t="s">
        <v>19</v>
      </c>
      <c r="C44" s="413">
        <f>+C41+C43</f>
        <v>3712379.7</v>
      </c>
      <c r="D44" s="413">
        <f>+D41+D43</f>
        <v>3677373</v>
      </c>
      <c r="E44" s="413">
        <f>+C44-D44</f>
        <v>35006.700000000186</v>
      </c>
    </row>
    <row r="45" spans="1:5" ht="17.25" x14ac:dyDescent="0.3">
      <c r="A45" s="63"/>
      <c r="B45" s="293" t="s">
        <v>141</v>
      </c>
      <c r="C45" s="294">
        <f>C36+C19+C44</f>
        <v>15476691.18</v>
      </c>
      <c r="D45" s="294">
        <f>D36+D19+D44</f>
        <v>13035547.069999998</v>
      </c>
      <c r="E45" s="294">
        <f>E36+E19+E44</f>
        <v>2441144.1100000022</v>
      </c>
    </row>
    <row r="46" spans="1:5" x14ac:dyDescent="0.25">
      <c r="A46" s="63"/>
      <c r="B46" s="65" t="s">
        <v>40</v>
      </c>
      <c r="C46" s="66"/>
      <c r="D46" s="70">
        <f>D45/C45*100</f>
        <v>84.226963750787959</v>
      </c>
      <c r="E46" s="71" t="s">
        <v>39</v>
      </c>
    </row>
    <row r="47" spans="1:5" ht="53.25" customHeight="1" x14ac:dyDescent="0.25">
      <c r="A47" s="576" t="s">
        <v>192</v>
      </c>
      <c r="B47" s="576"/>
      <c r="C47" s="576"/>
      <c r="D47" s="576"/>
      <c r="E47" s="576"/>
    </row>
    <row r="48" spans="1:5" ht="18.75" customHeight="1" x14ac:dyDescent="0.25">
      <c r="B48" s="519"/>
      <c r="C48" s="519"/>
      <c r="D48" s="519"/>
      <c r="E48" s="519"/>
    </row>
    <row r="49" spans="1:5" x14ac:dyDescent="0.25">
      <c r="A49" t="s">
        <v>202</v>
      </c>
      <c r="C49" s="317"/>
      <c r="D49" s="318" t="s">
        <v>203</v>
      </c>
      <c r="E49" s="15" t="s">
        <v>204</v>
      </c>
    </row>
  </sheetData>
  <mergeCells count="12">
    <mergeCell ref="D1:E1"/>
    <mergeCell ref="A4:E4"/>
    <mergeCell ref="B48:E48"/>
    <mergeCell ref="A5:E5"/>
    <mergeCell ref="A6:E6"/>
    <mergeCell ref="B11:E11"/>
    <mergeCell ref="A47:E47"/>
    <mergeCell ref="B26:E26"/>
    <mergeCell ref="B28:E28"/>
    <mergeCell ref="B30:E35"/>
    <mergeCell ref="A38:E38"/>
    <mergeCell ref="B40:E40"/>
  </mergeCell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5"/>
  <sheetViews>
    <sheetView topLeftCell="A10" workbookViewId="0">
      <selection activeCell="B9" sqref="B9"/>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509" t="s">
        <v>227</v>
      </c>
      <c r="E1" s="509"/>
    </row>
    <row r="2" spans="1:5" ht="15.75" x14ac:dyDescent="0.25">
      <c r="D2" t="s">
        <v>198</v>
      </c>
      <c r="E2" s="1"/>
    </row>
    <row r="3" spans="1:5" ht="15.75" x14ac:dyDescent="0.25">
      <c r="B3" s="17"/>
      <c r="C3" s="17"/>
      <c r="D3" t="s">
        <v>245</v>
      </c>
      <c r="E3" s="1"/>
    </row>
    <row r="4" spans="1:5" ht="15.75" customHeight="1" x14ac:dyDescent="0.25">
      <c r="A4" s="517" t="s">
        <v>142</v>
      </c>
      <c r="B4" s="517"/>
      <c r="C4" s="517"/>
      <c r="D4" s="517"/>
      <c r="E4" s="517"/>
    </row>
    <row r="5" spans="1:5" ht="44.25" customHeight="1" x14ac:dyDescent="0.25">
      <c r="A5" s="510" t="s">
        <v>242</v>
      </c>
      <c r="B5" s="510"/>
      <c r="C5" s="510"/>
      <c r="D5" s="510"/>
      <c r="E5" s="510"/>
    </row>
    <row r="6" spans="1:5" ht="358.5" customHeight="1" x14ac:dyDescent="0.25">
      <c r="A6" s="606" t="s">
        <v>294</v>
      </c>
      <c r="B6" s="606"/>
      <c r="C6" s="606"/>
      <c r="D6" s="606"/>
      <c r="E6" s="606"/>
    </row>
    <row r="7" spans="1:5" ht="15.75" x14ac:dyDescent="0.25">
      <c r="A7" s="607" t="s">
        <v>252</v>
      </c>
      <c r="B7" s="607"/>
      <c r="C7" s="607"/>
      <c r="D7" s="310">
        <f>D10</f>
        <v>79716.210000000006</v>
      </c>
      <c r="E7" s="309" t="s">
        <v>37</v>
      </c>
    </row>
    <row r="8" spans="1:5" ht="15.75" x14ac:dyDescent="0.25">
      <c r="A8" s="43" t="s">
        <v>24</v>
      </c>
      <c r="B8" s="221" t="s">
        <v>12</v>
      </c>
      <c r="C8" s="10" t="s">
        <v>1</v>
      </c>
      <c r="D8" s="10" t="s">
        <v>11</v>
      </c>
      <c r="E8" s="10" t="s">
        <v>5</v>
      </c>
    </row>
    <row r="9" spans="1:5" ht="45" x14ac:dyDescent="0.25">
      <c r="A9" s="45">
        <v>112152</v>
      </c>
      <c r="B9" s="295" t="s">
        <v>193</v>
      </c>
      <c r="C9" s="104">
        <v>150000</v>
      </c>
      <c r="D9" s="38">
        <v>70283.789999999994</v>
      </c>
      <c r="E9" s="296">
        <f>C9-D9</f>
        <v>79716.210000000006</v>
      </c>
    </row>
    <row r="10" spans="1:5" ht="16.5" x14ac:dyDescent="0.25">
      <c r="A10" s="63"/>
      <c r="B10" s="136" t="s">
        <v>107</v>
      </c>
      <c r="C10" s="135">
        <f>C9</f>
        <v>150000</v>
      </c>
      <c r="D10" s="7">
        <v>79716.210000000006</v>
      </c>
      <c r="E10" s="7">
        <f>C10-D10</f>
        <v>70283.789999999994</v>
      </c>
    </row>
    <row r="11" spans="1:5" ht="15.75" x14ac:dyDescent="0.25">
      <c r="A11" s="72"/>
      <c r="B11" s="138" t="s">
        <v>38</v>
      </c>
      <c r="C11" s="59"/>
      <c r="D11" s="73">
        <f>D10/C10*100</f>
        <v>53.144140000000007</v>
      </c>
      <c r="E11" s="71" t="s">
        <v>39</v>
      </c>
    </row>
    <row r="13" spans="1:5" x14ac:dyDescent="0.25">
      <c r="A13" s="608" t="s">
        <v>228</v>
      </c>
      <c r="B13" s="608"/>
      <c r="C13" s="608"/>
      <c r="D13" s="608"/>
      <c r="E13" s="608"/>
    </row>
    <row r="14" spans="1:5" ht="33.75" customHeight="1" x14ac:dyDescent="0.25">
      <c r="A14" s="513"/>
      <c r="B14" s="513"/>
      <c r="C14" s="513"/>
      <c r="D14" s="513"/>
      <c r="E14" s="513"/>
    </row>
    <row r="15" spans="1:5" x14ac:dyDescent="0.25">
      <c r="A15" t="s">
        <v>202</v>
      </c>
      <c r="C15" s="324"/>
      <c r="D15" s="158" t="s">
        <v>203</v>
      </c>
      <c r="E15" t="s">
        <v>204</v>
      </c>
    </row>
  </sheetData>
  <mergeCells count="7">
    <mergeCell ref="D1:E1"/>
    <mergeCell ref="A4:E4"/>
    <mergeCell ref="A5:E5"/>
    <mergeCell ref="A6:E6"/>
    <mergeCell ref="A14:E14"/>
    <mergeCell ref="A7:C7"/>
    <mergeCell ref="A13:E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2"/>
  <sheetViews>
    <sheetView topLeftCell="A13" workbookViewId="0">
      <selection activeCell="E14" sqref="E14"/>
    </sheetView>
  </sheetViews>
  <sheetFormatPr defaultRowHeight="15" x14ac:dyDescent="0.25"/>
  <cols>
    <col min="1" max="1" width="9.42578125" customWidth="1"/>
    <col min="2" max="2" width="28.140625" customWidth="1"/>
    <col min="3" max="3" width="17" customWidth="1"/>
    <col min="4" max="4" width="15" customWidth="1"/>
    <col min="5" max="5" width="12.42578125" bestFit="1" customWidth="1"/>
  </cols>
  <sheetData>
    <row r="1" spans="1:5" ht="15.75" x14ac:dyDescent="0.25">
      <c r="D1" s="1" t="s">
        <v>217</v>
      </c>
    </row>
    <row r="2" spans="1:5" ht="15.75" x14ac:dyDescent="0.25">
      <c r="D2" t="s">
        <v>198</v>
      </c>
      <c r="E2" s="1"/>
    </row>
    <row r="3" spans="1:5" ht="15.75" x14ac:dyDescent="0.25">
      <c r="D3" t="s">
        <v>284</v>
      </c>
      <c r="E3" s="1"/>
    </row>
    <row r="4" spans="1:5" ht="15.75" x14ac:dyDescent="0.25">
      <c r="A4" s="517" t="s">
        <v>142</v>
      </c>
      <c r="B4" s="517"/>
      <c r="C4" s="517"/>
      <c r="D4" s="517"/>
      <c r="E4" s="517"/>
    </row>
    <row r="5" spans="1:5" ht="15.75" x14ac:dyDescent="0.25">
      <c r="A5" s="517" t="s">
        <v>25</v>
      </c>
      <c r="B5" s="517"/>
      <c r="C5" s="517"/>
      <c r="D5" s="517"/>
      <c r="E5" s="517"/>
    </row>
    <row r="6" spans="1:5" ht="15.75" x14ac:dyDescent="0.25">
      <c r="A6" s="517" t="s">
        <v>26</v>
      </c>
      <c r="B6" s="517"/>
      <c r="C6" s="517"/>
      <c r="D6" s="517"/>
      <c r="E6" s="517"/>
    </row>
    <row r="7" spans="1:5" ht="15.75" x14ac:dyDescent="0.25">
      <c r="A7" s="609" t="s">
        <v>323</v>
      </c>
      <c r="B7" s="609"/>
      <c r="C7" s="609"/>
      <c r="D7" s="609"/>
      <c r="E7" s="609"/>
    </row>
    <row r="8" spans="1:5" ht="81" customHeight="1" x14ac:dyDescent="0.25">
      <c r="A8" s="520" t="s">
        <v>324</v>
      </c>
      <c r="B8" s="520"/>
      <c r="C8" s="520"/>
      <c r="D8" s="520"/>
      <c r="E8" s="520"/>
    </row>
    <row r="9" spans="1:5" ht="15.75" x14ac:dyDescent="0.25">
      <c r="A9" s="520" t="s">
        <v>91</v>
      </c>
      <c r="B9" s="520"/>
      <c r="C9" s="520"/>
      <c r="D9" s="520"/>
      <c r="E9" s="520"/>
    </row>
    <row r="10" spans="1:5" ht="48.75" customHeight="1" x14ac:dyDescent="0.25">
      <c r="A10" s="520" t="s">
        <v>146</v>
      </c>
      <c r="B10" s="520"/>
      <c r="C10" s="520"/>
      <c r="D10" s="520"/>
      <c r="E10" s="520"/>
    </row>
    <row r="11" spans="1:5" ht="66.75" customHeight="1" x14ac:dyDescent="0.25">
      <c r="A11" s="520" t="s">
        <v>147</v>
      </c>
      <c r="B11" s="520"/>
      <c r="C11" s="520"/>
      <c r="D11" s="520"/>
      <c r="E11" s="520"/>
    </row>
    <row r="12" spans="1:5" ht="49.5" customHeight="1" x14ac:dyDescent="0.25">
      <c r="A12" s="520" t="s">
        <v>148</v>
      </c>
      <c r="B12" s="520"/>
      <c r="C12" s="520"/>
      <c r="D12" s="520"/>
      <c r="E12" s="520"/>
    </row>
    <row r="13" spans="1:5" ht="155.25" customHeight="1" x14ac:dyDescent="0.25">
      <c r="A13" s="520" t="s">
        <v>149</v>
      </c>
      <c r="B13" s="520"/>
      <c r="C13" s="520"/>
      <c r="D13" s="520"/>
      <c r="E13" s="520"/>
    </row>
    <row r="14" spans="1:5" ht="15.75" x14ac:dyDescent="0.25">
      <c r="A14" s="49" t="s">
        <v>256</v>
      </c>
      <c r="B14" s="49"/>
      <c r="C14" s="49"/>
      <c r="D14" s="210">
        <f>+D18</f>
        <v>15000</v>
      </c>
      <c r="E14" s="49" t="s">
        <v>37</v>
      </c>
    </row>
    <row r="15" spans="1:5" ht="3.75" customHeight="1" x14ac:dyDescent="0.25">
      <c r="B15" s="200"/>
      <c r="C15" s="57"/>
      <c r="D15" s="97"/>
      <c r="E15" s="200"/>
    </row>
    <row r="16" spans="1:5" ht="15.75" x14ac:dyDescent="0.25">
      <c r="A16" s="47" t="s">
        <v>24</v>
      </c>
      <c r="B16" s="10" t="s">
        <v>12</v>
      </c>
      <c r="C16" s="10" t="s">
        <v>1</v>
      </c>
      <c r="D16" s="10" t="s">
        <v>11</v>
      </c>
      <c r="E16" s="10" t="s">
        <v>5</v>
      </c>
    </row>
    <row r="17" spans="1:5" ht="94.5" x14ac:dyDescent="0.25">
      <c r="A17" s="48">
        <v>117660</v>
      </c>
      <c r="B17" s="1" t="s">
        <v>27</v>
      </c>
      <c r="C17" s="37">
        <v>99000</v>
      </c>
      <c r="D17" s="38">
        <v>15000</v>
      </c>
      <c r="E17" s="39">
        <f>C17-D17</f>
        <v>84000</v>
      </c>
    </row>
    <row r="18" spans="1:5" ht="15.75" x14ac:dyDescent="0.25">
      <c r="A18" s="48"/>
      <c r="B18" s="5" t="s">
        <v>3</v>
      </c>
      <c r="C18" s="7">
        <f>SUM(C17:C17)</f>
        <v>99000</v>
      </c>
      <c r="D18" s="7">
        <f>SUM(D17:D17)</f>
        <v>15000</v>
      </c>
      <c r="E18" s="7">
        <f>E17</f>
        <v>84000</v>
      </c>
    </row>
    <row r="19" spans="1:5" ht="15.75" x14ac:dyDescent="0.25">
      <c r="A19" s="95"/>
      <c r="B19" s="74" t="s">
        <v>40</v>
      </c>
      <c r="C19" s="66"/>
      <c r="D19" s="70">
        <f>D18/C18*100</f>
        <v>15.151515151515152</v>
      </c>
      <c r="E19" s="71" t="s">
        <v>39</v>
      </c>
    </row>
    <row r="20" spans="1:5" ht="27.75" customHeight="1" x14ac:dyDescent="0.25">
      <c r="A20" s="553" t="s">
        <v>153</v>
      </c>
      <c r="B20" s="553"/>
      <c r="C20" s="553"/>
      <c r="D20" s="553"/>
      <c r="E20" s="553"/>
    </row>
    <row r="22" spans="1:5" x14ac:dyDescent="0.25">
      <c r="A22" t="s">
        <v>202</v>
      </c>
      <c r="C22" s="324"/>
      <c r="D22" s="158" t="s">
        <v>203</v>
      </c>
      <c r="E22" t="s">
        <v>204</v>
      </c>
    </row>
  </sheetData>
  <mergeCells count="11">
    <mergeCell ref="A13:E13"/>
    <mergeCell ref="A20:E20"/>
    <mergeCell ref="A9:E9"/>
    <mergeCell ref="A10:E10"/>
    <mergeCell ref="A11:E11"/>
    <mergeCell ref="A12:E12"/>
    <mergeCell ref="A4:E4"/>
    <mergeCell ref="A5:E5"/>
    <mergeCell ref="A6:E6"/>
    <mergeCell ref="A7:E7"/>
    <mergeCell ref="A8:E8"/>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17"/>
  <sheetViews>
    <sheetView workbookViewId="0">
      <selection activeCell="E7" sqref="E7"/>
    </sheetView>
  </sheetViews>
  <sheetFormatPr defaultRowHeight="15.75" x14ac:dyDescent="0.25"/>
  <cols>
    <col min="1" max="1" width="7.85546875" style="1" customWidth="1"/>
    <col min="2" max="2" width="42.7109375" style="1" customWidth="1"/>
    <col min="3" max="3" width="15.7109375" style="1" customWidth="1"/>
    <col min="4" max="4" width="15.28515625" style="1" customWidth="1"/>
    <col min="5" max="5" width="13.7109375" bestFit="1" customWidth="1"/>
  </cols>
  <sheetData>
    <row r="1" spans="1:6" x14ac:dyDescent="0.25">
      <c r="D1" s="509" t="s">
        <v>219</v>
      </c>
      <c r="E1" s="509"/>
    </row>
    <row r="2" spans="1:6" x14ac:dyDescent="0.25">
      <c r="D2" t="s">
        <v>198</v>
      </c>
      <c r="E2" s="1"/>
    </row>
    <row r="3" spans="1:6" x14ac:dyDescent="0.25">
      <c r="D3" t="s">
        <v>326</v>
      </c>
      <c r="E3" s="1"/>
    </row>
    <row r="4" spans="1:6" ht="15.75" customHeight="1" x14ac:dyDescent="0.25">
      <c r="A4" s="510" t="s">
        <v>142</v>
      </c>
      <c r="B4" s="510"/>
      <c r="C4" s="510"/>
      <c r="D4" s="510"/>
      <c r="E4" s="510"/>
    </row>
    <row r="5" spans="1:6" ht="39.75" customHeight="1" x14ac:dyDescent="0.25">
      <c r="A5" s="510" t="s">
        <v>327</v>
      </c>
      <c r="B5" s="510"/>
      <c r="C5" s="510"/>
      <c r="D5" s="510"/>
      <c r="E5" s="510"/>
    </row>
    <row r="6" spans="1:6" ht="240" customHeight="1" x14ac:dyDescent="0.25">
      <c r="A6" s="613" t="s">
        <v>328</v>
      </c>
      <c r="B6" s="613"/>
      <c r="C6" s="613"/>
      <c r="D6" s="613"/>
      <c r="E6" s="613"/>
      <c r="F6" s="1"/>
    </row>
    <row r="7" spans="1:6" x14ac:dyDescent="0.25">
      <c r="A7" s="49" t="s">
        <v>256</v>
      </c>
      <c r="D7" s="399">
        <f>+D11</f>
        <v>259192.2</v>
      </c>
      <c r="E7" s="49" t="s">
        <v>37</v>
      </c>
    </row>
    <row r="8" spans="1:6" ht="58.5" customHeight="1" x14ac:dyDescent="0.25">
      <c r="A8" s="10" t="s">
        <v>24</v>
      </c>
      <c r="B8" s="10" t="s">
        <v>12</v>
      </c>
      <c r="C8" s="10" t="s">
        <v>1</v>
      </c>
      <c r="D8" s="10" t="s">
        <v>11</v>
      </c>
      <c r="E8" s="10" t="s">
        <v>5</v>
      </c>
    </row>
    <row r="9" spans="1:6" ht="78" customHeight="1" x14ac:dyDescent="0.25">
      <c r="A9" s="36">
        <v>118340</v>
      </c>
      <c r="B9" s="208" t="s">
        <v>325</v>
      </c>
      <c r="C9" s="37">
        <v>222900</v>
      </c>
      <c r="D9" s="38">
        <v>9732</v>
      </c>
      <c r="E9" s="39">
        <f>C9-D9</f>
        <v>213168</v>
      </c>
    </row>
    <row r="10" spans="1:6" ht="120" x14ac:dyDescent="0.25">
      <c r="A10" s="76">
        <v>118311</v>
      </c>
      <c r="B10" s="209" t="s">
        <v>21</v>
      </c>
      <c r="C10" s="37">
        <v>445685</v>
      </c>
      <c r="D10" s="38">
        <v>249460.2</v>
      </c>
      <c r="E10" s="39">
        <f>C10-D10</f>
        <v>196224.8</v>
      </c>
    </row>
    <row r="11" spans="1:6" x14ac:dyDescent="0.25">
      <c r="A11" s="611" t="s">
        <v>19</v>
      </c>
      <c r="B11" s="612"/>
      <c r="C11" s="51">
        <f>SUM(C9:C10)</f>
        <v>668585</v>
      </c>
      <c r="D11" s="51">
        <f>SUM(D9:D10)</f>
        <v>259192.2</v>
      </c>
      <c r="E11" s="51">
        <f>SUM(E9:E10)</f>
        <v>409392.8</v>
      </c>
    </row>
    <row r="12" spans="1:6" x14ac:dyDescent="0.25">
      <c r="A12" s="78"/>
      <c r="B12" s="74" t="s">
        <v>40</v>
      </c>
      <c r="C12" s="79">
        <f>D11/C11*100</f>
        <v>38.767277159972181</v>
      </c>
      <c r="D12" s="60" t="s">
        <v>39</v>
      </c>
      <c r="E12" s="41"/>
    </row>
    <row r="14" spans="1:6" ht="31.5" customHeight="1" x14ac:dyDescent="0.25">
      <c r="A14" s="553" t="s">
        <v>153</v>
      </c>
      <c r="B14" s="553"/>
      <c r="C14" s="553"/>
      <c r="D14" s="553"/>
      <c r="E14" s="553"/>
    </row>
    <row r="17" spans="1:5" x14ac:dyDescent="0.25">
      <c r="A17" s="610" t="s">
        <v>202</v>
      </c>
      <c r="B17" s="610"/>
      <c r="C17" s="189"/>
      <c r="D17" s="30" t="s">
        <v>203</v>
      </c>
      <c r="E17" t="s">
        <v>204</v>
      </c>
    </row>
  </sheetData>
  <mergeCells count="7">
    <mergeCell ref="D1:E1"/>
    <mergeCell ref="A17:B17"/>
    <mergeCell ref="A14:E14"/>
    <mergeCell ref="A11:B11"/>
    <mergeCell ref="A4:E4"/>
    <mergeCell ref="A5:E5"/>
    <mergeCell ref="A6:E6"/>
  </mergeCells>
  <pageMargins left="0.39370078740157483" right="0.39370078740157483"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3"/>
  <sheetViews>
    <sheetView topLeftCell="A4" workbookViewId="0">
      <selection activeCell="D9" sqref="D9"/>
    </sheetView>
  </sheetViews>
  <sheetFormatPr defaultRowHeight="15" x14ac:dyDescent="0.25"/>
  <cols>
    <col min="1" max="1" width="6.7109375" customWidth="1"/>
    <col min="2" max="2" width="46.140625" customWidth="1"/>
    <col min="3" max="3" width="15.140625" customWidth="1"/>
    <col min="4" max="4" width="14.28515625" customWidth="1"/>
    <col min="5" max="5" width="12.5703125" customWidth="1"/>
  </cols>
  <sheetData>
    <row r="1" spans="1:14" x14ac:dyDescent="0.25">
      <c r="D1" s="509" t="s">
        <v>220</v>
      </c>
      <c r="E1" s="509"/>
    </row>
    <row r="2" spans="1:14" ht="15.75" x14ac:dyDescent="0.25">
      <c r="D2" t="s">
        <v>198</v>
      </c>
      <c r="E2" s="1"/>
    </row>
    <row r="3" spans="1:14" ht="15.75" x14ac:dyDescent="0.25">
      <c r="B3" s="17"/>
      <c r="C3" s="17"/>
      <c r="D3" t="s">
        <v>289</v>
      </c>
      <c r="E3" s="1"/>
    </row>
    <row r="4" spans="1:14" ht="15.75" customHeight="1" x14ac:dyDescent="0.25">
      <c r="A4" s="517" t="s">
        <v>142</v>
      </c>
      <c r="B4" s="517"/>
      <c r="C4" s="517"/>
      <c r="D4" s="517"/>
      <c r="E4" s="517"/>
    </row>
    <row r="5" spans="1:14" ht="34.5" customHeight="1" x14ac:dyDescent="0.25">
      <c r="A5" s="503" t="s">
        <v>329</v>
      </c>
      <c r="B5" s="503"/>
      <c r="C5" s="503"/>
      <c r="D5" s="503"/>
      <c r="E5" s="503"/>
    </row>
    <row r="6" spans="1:14" ht="46.5" customHeight="1" x14ac:dyDescent="0.25">
      <c r="A6" s="548" t="s">
        <v>150</v>
      </c>
      <c r="B6" s="548"/>
      <c r="C6" s="548"/>
      <c r="D6" s="548"/>
      <c r="E6" s="548"/>
    </row>
    <row r="7" spans="1:14" ht="81.75" customHeight="1" x14ac:dyDescent="0.25">
      <c r="A7" s="548" t="s">
        <v>151</v>
      </c>
      <c r="B7" s="548"/>
      <c r="C7" s="548"/>
      <c r="D7" s="548"/>
      <c r="E7" s="548"/>
    </row>
    <row r="8" spans="1:14" ht="81" customHeight="1" x14ac:dyDescent="0.25">
      <c r="A8" s="548" t="s">
        <v>152</v>
      </c>
      <c r="B8" s="548"/>
      <c r="C8" s="548"/>
      <c r="D8" s="548"/>
      <c r="E8" s="548"/>
    </row>
    <row r="9" spans="1:14" ht="15.75" x14ac:dyDescent="0.25">
      <c r="A9" s="49" t="s">
        <v>256</v>
      </c>
      <c r="B9" s="49"/>
      <c r="C9" s="210">
        <f>D18</f>
        <v>311406.63</v>
      </c>
      <c r="D9" s="49" t="s">
        <v>37</v>
      </c>
      <c r="E9" s="202"/>
      <c r="J9" s="200"/>
      <c r="K9" s="200"/>
      <c r="L9" s="200"/>
      <c r="M9" s="200"/>
      <c r="N9" s="200"/>
    </row>
    <row r="10" spans="1:14" ht="15.75" customHeight="1" x14ac:dyDescent="0.25">
      <c r="C10" s="1"/>
      <c r="D10" s="1"/>
      <c r="E10" s="1"/>
      <c r="K10" s="200"/>
      <c r="L10" s="57"/>
      <c r="M10" s="97"/>
      <c r="N10" s="200"/>
    </row>
    <row r="11" spans="1:14" ht="30" x14ac:dyDescent="0.25">
      <c r="A11" s="99" t="s">
        <v>24</v>
      </c>
      <c r="B11" s="42" t="s">
        <v>12</v>
      </c>
      <c r="C11" s="10" t="s">
        <v>1</v>
      </c>
      <c r="D11" s="10" t="s">
        <v>11</v>
      </c>
      <c r="E11" s="10" t="s">
        <v>5</v>
      </c>
    </row>
    <row r="12" spans="1:14" ht="15.75" x14ac:dyDescent="0.25">
      <c r="A12" s="41"/>
      <c r="B12" s="139"/>
      <c r="C12" s="8"/>
      <c r="D12" s="6"/>
      <c r="E12" s="16"/>
    </row>
    <row r="13" spans="1:14" ht="15.75" x14ac:dyDescent="0.25">
      <c r="A13" s="82">
        <v>117130</v>
      </c>
      <c r="B13" s="18" t="s">
        <v>276</v>
      </c>
      <c r="C13" s="37">
        <v>276780</v>
      </c>
      <c r="D13" s="38">
        <v>241406.63</v>
      </c>
      <c r="E13" s="39">
        <f>C13-D13</f>
        <v>35373.369999999995</v>
      </c>
    </row>
    <row r="14" spans="1:14" ht="192" customHeight="1" x14ac:dyDescent="0.25">
      <c r="A14" s="82"/>
      <c r="B14" s="614" t="s">
        <v>332</v>
      </c>
      <c r="C14" s="615"/>
      <c r="D14" s="615"/>
      <c r="E14" s="616"/>
    </row>
    <row r="15" spans="1:14" ht="15.75" x14ac:dyDescent="0.25">
      <c r="A15" s="82"/>
      <c r="B15" s="398" t="s">
        <v>330</v>
      </c>
      <c r="C15" s="37">
        <v>45000</v>
      </c>
      <c r="D15" s="38">
        <v>45000</v>
      </c>
      <c r="E15" s="39">
        <f>+C15-D15</f>
        <v>0</v>
      </c>
    </row>
    <row r="16" spans="1:14" ht="31.5" x14ac:dyDescent="0.25">
      <c r="A16" s="82"/>
      <c r="B16" s="398" t="s">
        <v>331</v>
      </c>
      <c r="C16" s="37">
        <v>25000</v>
      </c>
      <c r="D16" s="38">
        <v>25000</v>
      </c>
      <c r="E16" s="39">
        <f>+C16-D16</f>
        <v>0</v>
      </c>
    </row>
    <row r="17" spans="1:5" ht="15.75" x14ac:dyDescent="0.25">
      <c r="A17" s="82"/>
      <c r="B17" s="398"/>
      <c r="C17" s="37"/>
      <c r="D17" s="38"/>
      <c r="E17" s="39"/>
    </row>
    <row r="18" spans="1:5" ht="15.75" x14ac:dyDescent="0.25">
      <c r="A18" s="41"/>
      <c r="B18" s="140"/>
      <c r="C18" s="7">
        <f>SUM(C13:C17)</f>
        <v>346780</v>
      </c>
      <c r="D18" s="7">
        <f>SUM(D13:D17)</f>
        <v>311406.63</v>
      </c>
      <c r="E18" s="7">
        <f>SUM(E13:E17)</f>
        <v>35373.369999999995</v>
      </c>
    </row>
    <row r="19" spans="1:5" ht="15.75" x14ac:dyDescent="0.25">
      <c r="A19" s="72"/>
      <c r="B19" s="66" t="s">
        <v>38</v>
      </c>
      <c r="C19" s="59"/>
      <c r="D19" s="73">
        <f>D18/C18*100</f>
        <v>89.799478055251171</v>
      </c>
      <c r="E19" s="71" t="s">
        <v>39</v>
      </c>
    </row>
    <row r="21" spans="1:5" x14ac:dyDescent="0.25">
      <c r="A21" s="608" t="s">
        <v>153</v>
      </c>
      <c r="B21" s="608"/>
      <c r="C21" s="608"/>
      <c r="D21" s="608"/>
      <c r="E21" s="608"/>
    </row>
    <row r="23" spans="1:5" x14ac:dyDescent="0.25">
      <c r="A23" t="s">
        <v>202</v>
      </c>
      <c r="C23" s="324"/>
      <c r="D23" s="158" t="s">
        <v>203</v>
      </c>
      <c r="E23" t="s">
        <v>204</v>
      </c>
    </row>
  </sheetData>
  <mergeCells count="8">
    <mergeCell ref="D1:E1"/>
    <mergeCell ref="A4:E4"/>
    <mergeCell ref="A5:E5"/>
    <mergeCell ref="A21:E21"/>
    <mergeCell ref="A6:E6"/>
    <mergeCell ref="A7:E7"/>
    <mergeCell ref="A8:E8"/>
    <mergeCell ref="B14:E14"/>
  </mergeCells>
  <pageMargins left="0.39370078740157483" right="0.39370078740157483"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8"/>
  <sheetViews>
    <sheetView workbookViewId="0">
      <selection activeCell="B45" sqref="B45"/>
    </sheetView>
  </sheetViews>
  <sheetFormatPr defaultRowHeight="15.75" x14ac:dyDescent="0.25"/>
  <cols>
    <col min="1" max="1" width="7.140625" customWidth="1"/>
    <col min="2" max="2" width="31.28515625" style="15" customWidth="1"/>
    <col min="3" max="3" width="8.28515625" style="15" customWidth="1"/>
    <col min="4" max="4" width="5.7109375" style="15" customWidth="1"/>
    <col min="5" max="5" width="13.85546875" style="15" customWidth="1"/>
    <col min="6" max="6" width="15.28515625" style="25" customWidth="1"/>
    <col min="7" max="7" width="14.5703125" style="15" customWidth="1"/>
    <col min="9" max="9" width="13.28515625" customWidth="1"/>
  </cols>
  <sheetData>
    <row r="1" spans="1:7" ht="16.5" customHeight="1" x14ac:dyDescent="0.25">
      <c r="B1" s="1"/>
      <c r="C1" s="1"/>
      <c r="D1" s="1"/>
      <c r="E1" s="1"/>
      <c r="F1" s="1" t="s">
        <v>206</v>
      </c>
      <c r="G1"/>
    </row>
    <row r="2" spans="1:7" x14ac:dyDescent="0.25">
      <c r="B2" s="1"/>
      <c r="C2" s="1"/>
      <c r="D2" s="1"/>
      <c r="E2" s="1"/>
      <c r="F2" t="s">
        <v>198</v>
      </c>
      <c r="G2" s="1"/>
    </row>
    <row r="3" spans="1:7" x14ac:dyDescent="0.25">
      <c r="B3" s="1"/>
      <c r="C3" s="1"/>
      <c r="D3" s="1"/>
      <c r="E3" s="1"/>
      <c r="F3" t="s">
        <v>270</v>
      </c>
      <c r="G3" s="1"/>
    </row>
    <row r="4" spans="1:7" x14ac:dyDescent="0.25">
      <c r="A4" s="511" t="s">
        <v>142</v>
      </c>
      <c r="B4" s="511"/>
      <c r="C4" s="511"/>
      <c r="D4" s="511"/>
      <c r="E4" s="511"/>
      <c r="F4" s="511"/>
      <c r="G4" s="511"/>
    </row>
    <row r="5" spans="1:7" ht="33" customHeight="1" x14ac:dyDescent="0.25">
      <c r="A5" s="504" t="s">
        <v>333</v>
      </c>
      <c r="B5" s="504"/>
      <c r="C5" s="504"/>
      <c r="D5" s="504"/>
      <c r="E5" s="504"/>
      <c r="F5" s="504"/>
      <c r="G5" s="504"/>
    </row>
    <row r="6" spans="1:7" ht="105.75" customHeight="1" x14ac:dyDescent="0.25">
      <c r="A6" s="513" t="s">
        <v>56</v>
      </c>
      <c r="B6" s="513"/>
      <c r="C6" s="513"/>
      <c r="D6" s="513"/>
      <c r="E6" s="513"/>
      <c r="F6" s="513"/>
      <c r="G6" s="513"/>
    </row>
    <row r="7" spans="1:7" x14ac:dyDescent="0.25">
      <c r="A7" s="49" t="s">
        <v>256</v>
      </c>
      <c r="B7" s="49"/>
      <c r="C7" s="49"/>
      <c r="D7" s="49"/>
      <c r="E7" s="366">
        <f>+E8+E9</f>
        <v>18657019.450000003</v>
      </c>
      <c r="F7" s="97" t="s">
        <v>37</v>
      </c>
      <c r="G7" s="49"/>
    </row>
    <row r="8" spans="1:7" x14ac:dyDescent="0.25">
      <c r="B8" s="80" t="s">
        <v>33</v>
      </c>
      <c r="C8" s="80"/>
      <c r="D8" s="80"/>
      <c r="E8" s="57">
        <f>F29</f>
        <v>10152679.790000001</v>
      </c>
      <c r="F8" s="97" t="s">
        <v>37</v>
      </c>
      <c r="G8" s="80"/>
    </row>
    <row r="9" spans="1:7" ht="18.75" customHeight="1" x14ac:dyDescent="0.25">
      <c r="B9" s="53" t="s">
        <v>34</v>
      </c>
      <c r="C9" s="81"/>
      <c r="D9" s="81"/>
      <c r="E9" s="56">
        <f>F51</f>
        <v>8504339.6600000001</v>
      </c>
      <c r="F9" s="96" t="s">
        <v>37</v>
      </c>
      <c r="G9" s="81"/>
    </row>
    <row r="10" spans="1:7" ht="30.75" customHeight="1" x14ac:dyDescent="0.25">
      <c r="A10" s="54" t="s">
        <v>24</v>
      </c>
      <c r="B10" s="10" t="s">
        <v>35</v>
      </c>
      <c r="C10" s="2" t="s">
        <v>36</v>
      </c>
      <c r="D10" s="2" t="s">
        <v>20</v>
      </c>
      <c r="E10" s="2" t="s">
        <v>8</v>
      </c>
      <c r="F10" s="24" t="s">
        <v>9</v>
      </c>
      <c r="G10" s="2" t="s">
        <v>5</v>
      </c>
    </row>
    <row r="11" spans="1:7" x14ac:dyDescent="0.25">
      <c r="B11" s="521" t="s">
        <v>17</v>
      </c>
      <c r="C11" s="522"/>
      <c r="D11" s="522"/>
      <c r="E11" s="522"/>
      <c r="F11" s="522"/>
      <c r="G11" s="523"/>
    </row>
    <row r="12" spans="1:7" ht="31.5" x14ac:dyDescent="0.25">
      <c r="A12" s="85">
        <v>116013</v>
      </c>
      <c r="B12" s="5" t="s">
        <v>46</v>
      </c>
      <c r="C12" s="3">
        <v>886313</v>
      </c>
      <c r="D12" s="3" t="s">
        <v>48</v>
      </c>
      <c r="E12" s="400">
        <v>6700000</v>
      </c>
      <c r="F12" s="401">
        <v>5710572.6900000004</v>
      </c>
      <c r="G12" s="6">
        <f>E12-F12</f>
        <v>989427.30999999959</v>
      </c>
    </row>
    <row r="13" spans="1:7" x14ac:dyDescent="0.25">
      <c r="A13" s="41"/>
      <c r="B13" s="5" t="s">
        <v>47</v>
      </c>
      <c r="C13" s="3">
        <v>6519</v>
      </c>
      <c r="D13" s="3" t="s">
        <v>49</v>
      </c>
      <c r="E13" s="400">
        <v>175300</v>
      </c>
      <c r="F13" s="401">
        <v>161597.53</v>
      </c>
      <c r="G13" s="6">
        <f t="shared" ref="G13:G15" si="0">E13-F13</f>
        <v>13702.470000000001</v>
      </c>
    </row>
    <row r="14" spans="1:7" ht="31.5" x14ac:dyDescent="0.25">
      <c r="A14" s="41"/>
      <c r="B14" s="5" t="s">
        <v>268</v>
      </c>
      <c r="C14" s="3"/>
      <c r="D14" s="3"/>
      <c r="E14" s="403">
        <v>93860</v>
      </c>
      <c r="F14" s="401"/>
      <c r="G14" s="6">
        <f t="shared" si="0"/>
        <v>93860</v>
      </c>
    </row>
    <row r="15" spans="1:7" ht="31.5" x14ac:dyDescent="0.25">
      <c r="A15" s="41"/>
      <c r="B15" s="5" t="s">
        <v>276</v>
      </c>
      <c r="C15" s="3"/>
      <c r="D15" s="3"/>
      <c r="E15" s="401">
        <v>4095000</v>
      </c>
      <c r="F15" s="401">
        <v>3533736.97</v>
      </c>
      <c r="G15" s="6">
        <f t="shared" si="0"/>
        <v>561263.0299999998</v>
      </c>
    </row>
    <row r="16" spans="1:7" ht="62.25" customHeight="1" x14ac:dyDescent="0.25">
      <c r="A16" s="527" t="s">
        <v>334</v>
      </c>
      <c r="B16" s="528"/>
      <c r="C16" s="528"/>
      <c r="D16" s="528"/>
      <c r="E16" s="528"/>
      <c r="F16" s="528"/>
      <c r="G16" s="529"/>
    </row>
    <row r="17" spans="1:13" ht="63" customHeight="1" x14ac:dyDescent="0.25">
      <c r="A17" s="530"/>
      <c r="B17" s="531"/>
      <c r="C17" s="531"/>
      <c r="D17" s="531"/>
      <c r="E17" s="531"/>
      <c r="F17" s="531"/>
      <c r="G17" s="532"/>
    </row>
    <row r="18" spans="1:13" ht="63" customHeight="1" x14ac:dyDescent="0.25">
      <c r="A18" s="530"/>
      <c r="B18" s="531"/>
      <c r="C18" s="531"/>
      <c r="D18" s="531"/>
      <c r="E18" s="531"/>
      <c r="F18" s="531"/>
      <c r="G18" s="532"/>
      <c r="M18" s="395"/>
    </row>
    <row r="19" spans="1:13" ht="47.25" customHeight="1" x14ac:dyDescent="0.25">
      <c r="A19" s="530"/>
      <c r="B19" s="531"/>
      <c r="C19" s="531"/>
      <c r="D19" s="531"/>
      <c r="E19" s="531"/>
      <c r="F19" s="531"/>
      <c r="G19" s="532"/>
    </row>
    <row r="20" spans="1:13" ht="21" customHeight="1" x14ac:dyDescent="0.25">
      <c r="A20" s="530"/>
      <c r="B20" s="531"/>
      <c r="C20" s="531"/>
      <c r="D20" s="531"/>
      <c r="E20" s="531"/>
      <c r="F20" s="531"/>
      <c r="G20" s="532"/>
    </row>
    <row r="21" spans="1:13" ht="13.5" hidden="1" customHeight="1" x14ac:dyDescent="0.25">
      <c r="A21" s="530"/>
      <c r="B21" s="531"/>
      <c r="C21" s="531"/>
      <c r="D21" s="531"/>
      <c r="E21" s="531"/>
      <c r="F21" s="531"/>
      <c r="G21" s="532"/>
    </row>
    <row r="22" spans="1:13" ht="31.5" hidden="1" customHeight="1" x14ac:dyDescent="0.25">
      <c r="A22" s="530"/>
      <c r="B22" s="531"/>
      <c r="C22" s="531"/>
      <c r="D22" s="531"/>
      <c r="E22" s="531"/>
      <c r="F22" s="531"/>
      <c r="G22" s="532"/>
    </row>
    <row r="23" spans="1:13" ht="31.5" hidden="1" customHeight="1" x14ac:dyDescent="0.25">
      <c r="A23" s="530"/>
      <c r="B23" s="531"/>
      <c r="C23" s="531"/>
      <c r="D23" s="531"/>
      <c r="E23" s="531"/>
      <c r="F23" s="531"/>
      <c r="G23" s="532"/>
    </row>
    <row r="24" spans="1:13" ht="31.5" hidden="1" customHeight="1" x14ac:dyDescent="0.25">
      <c r="A24" s="530"/>
      <c r="B24" s="531"/>
      <c r="C24" s="531"/>
      <c r="D24" s="531"/>
      <c r="E24" s="531"/>
      <c r="F24" s="531"/>
      <c r="G24" s="532"/>
    </row>
    <row r="25" spans="1:13" ht="31.5" hidden="1" customHeight="1" x14ac:dyDescent="0.25">
      <c r="A25" s="533"/>
      <c r="B25" s="534"/>
      <c r="C25" s="534"/>
      <c r="D25" s="534"/>
      <c r="E25" s="534"/>
      <c r="F25" s="534"/>
      <c r="G25" s="535"/>
    </row>
    <row r="26" spans="1:13" x14ac:dyDescent="0.25">
      <c r="A26" s="61"/>
      <c r="B26" s="68" t="s">
        <v>52</v>
      </c>
      <c r="C26" s="58"/>
      <c r="D26" s="27"/>
      <c r="E26" s="402">
        <f>+E27+E28</f>
        <v>809000</v>
      </c>
      <c r="F26" s="402">
        <f>+F27+F28</f>
        <v>746772.60000000009</v>
      </c>
      <c r="G26" s="100">
        <f>E26-F26</f>
        <v>62227.399999999907</v>
      </c>
    </row>
    <row r="27" spans="1:13" x14ac:dyDescent="0.25">
      <c r="A27" s="41"/>
      <c r="B27" s="14" t="s">
        <v>53</v>
      </c>
      <c r="C27" s="90">
        <v>12070</v>
      </c>
      <c r="D27" s="14" t="s">
        <v>54</v>
      </c>
      <c r="E27" s="91">
        <v>700000</v>
      </c>
      <c r="F27" s="92">
        <v>645624.30000000005</v>
      </c>
      <c r="G27" s="6">
        <f>+E27-F27</f>
        <v>54375.699999999953</v>
      </c>
    </row>
    <row r="28" spans="1:13" x14ac:dyDescent="0.25">
      <c r="A28" s="62"/>
      <c r="B28" s="22" t="s">
        <v>55</v>
      </c>
      <c r="C28" s="29">
        <v>1870</v>
      </c>
      <c r="D28" s="28" t="s">
        <v>54</v>
      </c>
      <c r="E28" s="33">
        <v>109000</v>
      </c>
      <c r="F28" s="34">
        <v>101148.3</v>
      </c>
      <c r="G28" s="6">
        <f>+E28-F28</f>
        <v>7851.6999999999971</v>
      </c>
    </row>
    <row r="29" spans="1:13" x14ac:dyDescent="0.25">
      <c r="A29" s="41"/>
      <c r="B29" s="617" t="s">
        <v>42</v>
      </c>
      <c r="C29" s="618"/>
      <c r="D29" s="14"/>
      <c r="E29" s="35">
        <f>SUM(E12:E26)</f>
        <v>11873160</v>
      </c>
      <c r="F29" s="35">
        <f>SUM(F12:F26)</f>
        <v>10152679.790000001</v>
      </c>
      <c r="G29" s="35">
        <f>SUM(G12:G28)</f>
        <v>1782707.6099999992</v>
      </c>
    </row>
    <row r="30" spans="1:13" x14ac:dyDescent="0.25">
      <c r="A30" s="524" t="s">
        <v>18</v>
      </c>
      <c r="B30" s="525"/>
      <c r="C30" s="525"/>
      <c r="D30" s="525"/>
      <c r="E30" s="525"/>
      <c r="F30" s="525"/>
      <c r="G30" s="526"/>
    </row>
    <row r="31" spans="1:13" ht="47.25" x14ac:dyDescent="0.25">
      <c r="A31" s="84">
        <v>116013</v>
      </c>
      <c r="B31" s="3" t="s">
        <v>335</v>
      </c>
      <c r="C31" s="14">
        <v>1</v>
      </c>
      <c r="D31" s="14" t="s">
        <v>45</v>
      </c>
      <c r="E31" s="31">
        <v>50000</v>
      </c>
      <c r="F31" s="31"/>
      <c r="G31" s="31">
        <f>E31-F31</f>
        <v>50000</v>
      </c>
    </row>
    <row r="32" spans="1:13" ht="48" customHeight="1" x14ac:dyDescent="0.25">
      <c r="A32" s="84"/>
      <c r="B32" s="3" t="s">
        <v>336</v>
      </c>
      <c r="C32" s="14">
        <v>1</v>
      </c>
      <c r="D32" s="14" t="s">
        <v>45</v>
      </c>
      <c r="E32" s="31">
        <v>50000</v>
      </c>
      <c r="F32" s="31"/>
      <c r="G32" s="31">
        <f t="shared" ref="G32:G39" si="1">E32-F32</f>
        <v>50000</v>
      </c>
    </row>
    <row r="33" spans="1:7" ht="63" x14ac:dyDescent="0.25">
      <c r="A33" s="166"/>
      <c r="B33" s="3" t="s">
        <v>337</v>
      </c>
      <c r="C33" s="14">
        <v>1</v>
      </c>
      <c r="D33" s="14" t="s">
        <v>45</v>
      </c>
      <c r="E33" s="31">
        <v>50000</v>
      </c>
      <c r="F33" s="31"/>
      <c r="G33" s="31">
        <f t="shared" si="1"/>
        <v>50000</v>
      </c>
    </row>
    <row r="34" spans="1:7" ht="94.5" x14ac:dyDescent="0.25">
      <c r="A34" s="166"/>
      <c r="B34" s="3" t="s">
        <v>338</v>
      </c>
      <c r="C34" s="14">
        <v>1</v>
      </c>
      <c r="D34" s="14" t="s">
        <v>45</v>
      </c>
      <c r="E34" s="31">
        <v>594867</v>
      </c>
      <c r="F34" s="31">
        <v>594866.07999999996</v>
      </c>
      <c r="G34" s="31">
        <f t="shared" si="1"/>
        <v>0.92000000004190952</v>
      </c>
    </row>
    <row r="35" spans="1:7" ht="110.25" x14ac:dyDescent="0.25">
      <c r="A35" s="166"/>
      <c r="B35" s="3" t="s">
        <v>339</v>
      </c>
      <c r="C35" s="14">
        <v>1</v>
      </c>
      <c r="D35" s="14" t="s">
        <v>45</v>
      </c>
      <c r="E35" s="31">
        <v>132493</v>
      </c>
      <c r="F35" s="31">
        <v>132493</v>
      </c>
      <c r="G35" s="31">
        <f t="shared" si="1"/>
        <v>0</v>
      </c>
    </row>
    <row r="36" spans="1:7" ht="75.75" customHeight="1" x14ac:dyDescent="0.25">
      <c r="A36" s="166"/>
      <c r="B36" s="3" t="s">
        <v>340</v>
      </c>
      <c r="C36" s="14">
        <v>1</v>
      </c>
      <c r="D36" s="14" t="s">
        <v>45</v>
      </c>
      <c r="E36" s="31">
        <v>98000</v>
      </c>
      <c r="F36" s="31">
        <v>97632.66</v>
      </c>
      <c r="G36" s="31">
        <f t="shared" si="1"/>
        <v>367.33999999999651</v>
      </c>
    </row>
    <row r="37" spans="1:7" ht="63" x14ac:dyDescent="0.25">
      <c r="A37" s="166"/>
      <c r="B37" s="3" t="s">
        <v>341</v>
      </c>
      <c r="C37" s="14">
        <v>1</v>
      </c>
      <c r="D37" s="14" t="s">
        <v>45</v>
      </c>
      <c r="E37" s="31">
        <v>98000</v>
      </c>
      <c r="F37" s="31"/>
      <c r="G37" s="31">
        <f t="shared" si="1"/>
        <v>98000</v>
      </c>
    </row>
    <row r="38" spans="1:7" ht="63" x14ac:dyDescent="0.25">
      <c r="A38" s="166"/>
      <c r="B38" s="3" t="s">
        <v>342</v>
      </c>
      <c r="C38" s="14">
        <v>1</v>
      </c>
      <c r="D38" s="14" t="s">
        <v>45</v>
      </c>
      <c r="E38" s="31">
        <v>35000</v>
      </c>
      <c r="F38" s="31"/>
      <c r="G38" s="31">
        <f t="shared" si="1"/>
        <v>35000</v>
      </c>
    </row>
    <row r="39" spans="1:7" ht="47.25" x14ac:dyDescent="0.25">
      <c r="A39" s="82"/>
      <c r="B39" s="22" t="s">
        <v>343</v>
      </c>
      <c r="C39" s="14">
        <v>2</v>
      </c>
      <c r="D39" s="14" t="s">
        <v>51</v>
      </c>
      <c r="E39" s="31">
        <v>215000</v>
      </c>
      <c r="F39" s="31">
        <v>213600</v>
      </c>
      <c r="G39" s="31">
        <f t="shared" si="1"/>
        <v>1400</v>
      </c>
    </row>
    <row r="40" spans="1:7" ht="31.5" x14ac:dyDescent="0.25">
      <c r="A40" s="82"/>
      <c r="B40" s="22" t="s">
        <v>344</v>
      </c>
      <c r="C40" s="14">
        <v>3</v>
      </c>
      <c r="D40" s="14" t="s">
        <v>51</v>
      </c>
      <c r="E40" s="31">
        <v>1500000</v>
      </c>
      <c r="F40" s="31">
        <v>1189897.92</v>
      </c>
      <c r="G40" s="31">
        <f>E40-F40</f>
        <v>310102.08000000007</v>
      </c>
    </row>
    <row r="41" spans="1:7" ht="31.5" x14ac:dyDescent="0.25">
      <c r="A41" s="82"/>
      <c r="B41" s="22" t="s">
        <v>345</v>
      </c>
      <c r="C41" s="14">
        <v>4</v>
      </c>
      <c r="D41" s="14" t="s">
        <v>51</v>
      </c>
      <c r="E41" s="31">
        <v>830000</v>
      </c>
      <c r="F41" s="32">
        <v>805850</v>
      </c>
      <c r="G41" s="31">
        <f t="shared" ref="G41" si="2">E41-F41</f>
        <v>24150</v>
      </c>
    </row>
    <row r="42" spans="1:7" x14ac:dyDescent="0.25">
      <c r="A42" s="82"/>
      <c r="B42" s="86" t="s">
        <v>42</v>
      </c>
      <c r="C42" s="87"/>
      <c r="D42" s="88"/>
      <c r="E42" s="89">
        <f>SUM(E31:E41)</f>
        <v>3653360</v>
      </c>
      <c r="F42" s="89">
        <f>SUM(F31:F41)</f>
        <v>3034339.66</v>
      </c>
      <c r="G42" s="89">
        <f>SUM(G31:G41)</f>
        <v>619020.34000000008</v>
      </c>
    </row>
    <row r="43" spans="1:7" ht="63" x14ac:dyDescent="0.25">
      <c r="A43" s="82">
        <v>117310</v>
      </c>
      <c r="B43" s="406" t="s">
        <v>346</v>
      </c>
      <c r="C43" s="405">
        <v>1</v>
      </c>
      <c r="D43" s="405" t="s">
        <v>45</v>
      </c>
      <c r="E43" s="407">
        <v>80000</v>
      </c>
      <c r="F43" s="407"/>
      <c r="G43" s="407">
        <f>+E43-F43</f>
        <v>80000</v>
      </c>
    </row>
    <row r="44" spans="1:7" x14ac:dyDescent="0.25">
      <c r="A44" s="82"/>
      <c r="B44" s="86" t="s">
        <v>42</v>
      </c>
      <c r="C44" s="87"/>
      <c r="D44" s="88"/>
      <c r="E44" s="408">
        <f>+E43</f>
        <v>80000</v>
      </c>
      <c r="F44" s="408"/>
      <c r="G44" s="408"/>
    </row>
    <row r="45" spans="1:7" ht="31.5" x14ac:dyDescent="0.25">
      <c r="A45" s="82">
        <v>117670</v>
      </c>
      <c r="B45" s="406" t="s">
        <v>347</v>
      </c>
      <c r="C45" s="405">
        <v>1</v>
      </c>
      <c r="D45" s="405" t="s">
        <v>51</v>
      </c>
      <c r="E45" s="407">
        <v>5470003</v>
      </c>
      <c r="F45" s="407">
        <v>5470000</v>
      </c>
      <c r="G45" s="407">
        <f>+E45-F45</f>
        <v>3</v>
      </c>
    </row>
    <row r="46" spans="1:7" x14ac:dyDescent="0.25">
      <c r="A46" s="82"/>
      <c r="B46" s="86" t="s">
        <v>42</v>
      </c>
      <c r="C46" s="87"/>
      <c r="D46" s="88"/>
      <c r="E46" s="408">
        <f>+E45</f>
        <v>5470003</v>
      </c>
      <c r="F46" s="408">
        <f t="shared" ref="F46:G46" si="3">+F45</f>
        <v>5470000</v>
      </c>
      <c r="G46" s="408">
        <f t="shared" si="3"/>
        <v>3</v>
      </c>
    </row>
    <row r="47" spans="1:7" hidden="1" x14ac:dyDescent="0.25">
      <c r="A47" s="82"/>
      <c r="B47" s="406"/>
      <c r="C47" s="404"/>
      <c r="D47" s="405"/>
      <c r="E47" s="407"/>
      <c r="F47" s="407"/>
      <c r="G47" s="407"/>
    </row>
    <row r="48" spans="1:7" x14ac:dyDescent="0.25">
      <c r="A48" s="82"/>
      <c r="B48" s="86" t="s">
        <v>141</v>
      </c>
      <c r="C48" s="87"/>
      <c r="D48" s="88"/>
      <c r="E48" s="89">
        <f>E29+E42+E44+E46</f>
        <v>21076523</v>
      </c>
      <c r="F48" s="89">
        <f t="shared" ref="F48:G48" si="4">F29+F42+F44+F46</f>
        <v>18657019.450000003</v>
      </c>
      <c r="G48" s="89">
        <f t="shared" si="4"/>
        <v>2401730.9499999993</v>
      </c>
    </row>
    <row r="49" spans="1:13" hidden="1" x14ac:dyDescent="0.25">
      <c r="A49" s="84">
        <v>117310</v>
      </c>
      <c r="B49" s="83"/>
      <c r="C49" s="14"/>
      <c r="D49" s="14"/>
      <c r="E49" s="31"/>
      <c r="F49" s="32"/>
      <c r="G49" s="31"/>
    </row>
    <row r="50" spans="1:13" hidden="1" x14ac:dyDescent="0.25">
      <c r="A50" s="82"/>
      <c r="B50" s="86" t="s">
        <v>42</v>
      </c>
      <c r="C50" s="87"/>
      <c r="D50" s="88"/>
      <c r="E50" s="89">
        <f>E49</f>
        <v>0</v>
      </c>
      <c r="F50" s="89">
        <f>F49</f>
        <v>0</v>
      </c>
      <c r="G50" s="89">
        <f>G49</f>
        <v>0</v>
      </c>
    </row>
    <row r="51" spans="1:13" ht="15.6" hidden="1" customHeight="1" x14ac:dyDescent="0.25">
      <c r="A51" s="41"/>
      <c r="B51" s="617" t="s">
        <v>19</v>
      </c>
      <c r="C51" s="618"/>
      <c r="D51" s="14"/>
      <c r="E51" s="35">
        <f>E42+E50</f>
        <v>3653360</v>
      </c>
      <c r="F51" s="35">
        <f>F42+F46</f>
        <v>8504339.6600000001</v>
      </c>
      <c r="G51" s="35">
        <f>G42+G50</f>
        <v>619020.34000000008</v>
      </c>
    </row>
    <row r="52" spans="1:13" hidden="1" x14ac:dyDescent="0.25">
      <c r="A52" s="41"/>
      <c r="B52" s="146" t="s">
        <v>110</v>
      </c>
      <c r="C52" s="146"/>
      <c r="D52" s="14"/>
      <c r="E52" s="35">
        <f>E51+E29</f>
        <v>15526520</v>
      </c>
      <c r="F52" s="35">
        <f>F51+F29</f>
        <v>18657019.450000003</v>
      </c>
      <c r="G52" s="35">
        <f>G51+G29</f>
        <v>2401727.9499999993</v>
      </c>
    </row>
    <row r="53" spans="1:13" x14ac:dyDescent="0.25">
      <c r="A53" s="63"/>
      <c r="B53" s="65" t="s">
        <v>40</v>
      </c>
      <c r="C53" s="66"/>
      <c r="D53" s="66"/>
      <c r="E53" s="66"/>
      <c r="F53" s="70">
        <f>F48/E48*100</f>
        <v>88.520385691700682</v>
      </c>
      <c r="G53" s="71" t="s">
        <v>39</v>
      </c>
      <c r="M53" t="s">
        <v>122</v>
      </c>
    </row>
    <row r="54" spans="1:13" ht="19.5" customHeight="1" x14ac:dyDescent="0.25">
      <c r="B54" s="548"/>
      <c r="C54" s="548"/>
      <c r="D54" s="548"/>
      <c r="E54" s="548"/>
      <c r="F54" s="548"/>
      <c r="G54" s="548"/>
    </row>
    <row r="55" spans="1:13" ht="63" customHeight="1" x14ac:dyDescent="0.25">
      <c r="A55" s="587" t="s">
        <v>140</v>
      </c>
      <c r="B55" s="587"/>
      <c r="C55" s="587"/>
      <c r="D55" s="587"/>
      <c r="E55" s="587"/>
      <c r="F55" s="587"/>
      <c r="G55" s="587"/>
    </row>
    <row r="58" spans="1:13" x14ac:dyDescent="0.25">
      <c r="A58" t="s">
        <v>202</v>
      </c>
      <c r="C58" s="317"/>
      <c r="D58" s="317"/>
      <c r="F58" s="25" t="s">
        <v>205</v>
      </c>
    </row>
  </sheetData>
  <mergeCells count="10">
    <mergeCell ref="A55:G55"/>
    <mergeCell ref="A4:G4"/>
    <mergeCell ref="A6:G6"/>
    <mergeCell ref="B11:G11"/>
    <mergeCell ref="B29:C29"/>
    <mergeCell ref="A30:G30"/>
    <mergeCell ref="B51:C51"/>
    <mergeCell ref="B54:G54"/>
    <mergeCell ref="A5:G5"/>
    <mergeCell ref="A16:G25"/>
  </mergeCells>
  <pageMargins left="0.39370078740157483" right="0.39370078740157483" top="0.74803149606299213" bottom="0.74803149606299213" header="0.31496062992125984" footer="0.31496062992125984"/>
  <pageSetup paperSize="9" scale="95" fitToHeight="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H61"/>
  <sheetViews>
    <sheetView workbookViewId="0">
      <selection activeCell="E36" sqref="E36:E47"/>
    </sheetView>
  </sheetViews>
  <sheetFormatPr defaultRowHeight="15.75" x14ac:dyDescent="0.25"/>
  <cols>
    <col min="1" max="1" width="7.140625" customWidth="1"/>
    <col min="2" max="2" width="34" style="1" customWidth="1"/>
    <col min="3" max="3" width="6.5703125" style="15" customWidth="1"/>
    <col min="4" max="4" width="5.7109375" style="109" customWidth="1"/>
    <col min="5" max="5" width="14.42578125" style="15" customWidth="1"/>
    <col min="6" max="6" width="14.140625" style="25" customWidth="1"/>
    <col min="7" max="7" width="13.28515625" style="15" customWidth="1"/>
    <col min="8" max="8" width="11.42578125" bestFit="1" customWidth="1"/>
  </cols>
  <sheetData>
    <row r="1" spans="1:8" x14ac:dyDescent="0.25">
      <c r="F1" s="509" t="s">
        <v>222</v>
      </c>
      <c r="G1" s="509"/>
    </row>
    <row r="2" spans="1:8" x14ac:dyDescent="0.25">
      <c r="F2" t="s">
        <v>198</v>
      </c>
      <c r="G2" s="1"/>
    </row>
    <row r="3" spans="1:8" x14ac:dyDescent="0.25">
      <c r="C3" s="1"/>
      <c r="D3" s="108"/>
      <c r="E3" s="1"/>
      <c r="F3" t="s">
        <v>270</v>
      </c>
      <c r="G3" s="1"/>
    </row>
    <row r="4" spans="1:8" x14ac:dyDescent="0.25">
      <c r="A4" s="511" t="s">
        <v>142</v>
      </c>
      <c r="B4" s="511"/>
      <c r="C4" s="511"/>
      <c r="D4" s="511"/>
      <c r="E4" s="511"/>
      <c r="F4" s="511"/>
      <c r="G4" s="511"/>
    </row>
    <row r="5" spans="1:8" ht="17.25" customHeight="1" x14ac:dyDescent="0.25">
      <c r="A5" s="619" t="s">
        <v>349</v>
      </c>
      <c r="B5" s="619"/>
      <c r="C5" s="619"/>
      <c r="D5" s="619"/>
      <c r="E5" s="619"/>
      <c r="F5" s="619"/>
      <c r="G5" s="619"/>
    </row>
    <row r="6" spans="1:8" ht="14.25" customHeight="1" x14ac:dyDescent="0.25">
      <c r="A6" s="620"/>
      <c r="B6" s="620"/>
      <c r="C6" s="620"/>
      <c r="D6" s="620"/>
      <c r="E6" s="620"/>
      <c r="F6" s="620"/>
      <c r="G6" s="620"/>
    </row>
    <row r="7" spans="1:8" ht="315.75" customHeight="1" x14ac:dyDescent="0.25">
      <c r="A7" s="548" t="s">
        <v>102</v>
      </c>
      <c r="B7" s="548"/>
      <c r="C7" s="548"/>
      <c r="D7" s="548"/>
      <c r="E7" s="548"/>
      <c r="F7" s="548"/>
      <c r="G7" s="548"/>
    </row>
    <row r="8" spans="1:8" x14ac:dyDescent="0.25">
      <c r="A8" s="49" t="s">
        <v>256</v>
      </c>
      <c r="B8" s="49"/>
      <c r="C8" s="49"/>
      <c r="D8" s="49"/>
      <c r="E8" s="366">
        <f>+E9+E10</f>
        <v>25696214.669999998</v>
      </c>
      <c r="F8" s="97" t="s">
        <v>37</v>
      </c>
      <c r="G8" s="49"/>
    </row>
    <row r="9" spans="1:8" x14ac:dyDescent="0.25">
      <c r="B9" s="98" t="s">
        <v>33</v>
      </c>
      <c r="C9" s="93"/>
      <c r="E9" s="212">
        <f>F48</f>
        <v>17532214.669999998</v>
      </c>
      <c r="F9" s="97" t="s">
        <v>37</v>
      </c>
      <c r="G9" s="93"/>
    </row>
    <row r="10" spans="1:8" ht="18.75" customHeight="1" x14ac:dyDescent="0.25">
      <c r="B10" s="53" t="s">
        <v>34</v>
      </c>
      <c r="C10" s="94"/>
      <c r="D10" s="107"/>
      <c r="E10" s="211">
        <f>F56</f>
        <v>8164000</v>
      </c>
      <c r="F10" s="96" t="s">
        <v>37</v>
      </c>
      <c r="G10" s="94"/>
    </row>
    <row r="11" spans="1:8" s="11" customFormat="1" ht="30.75" customHeight="1" x14ac:dyDescent="0.25">
      <c r="A11" s="99" t="s">
        <v>24</v>
      </c>
      <c r="B11" s="10" t="s">
        <v>35</v>
      </c>
      <c r="C11" s="10" t="s">
        <v>36</v>
      </c>
      <c r="D11" s="10" t="s">
        <v>20</v>
      </c>
      <c r="E11" s="10" t="s">
        <v>8</v>
      </c>
      <c r="F11" s="113" t="s">
        <v>9</v>
      </c>
      <c r="G11" s="10" t="s">
        <v>5</v>
      </c>
    </row>
    <row r="12" spans="1:8" x14ac:dyDescent="0.25">
      <c r="A12" s="551" t="s">
        <v>17</v>
      </c>
      <c r="B12" s="551"/>
      <c r="C12" s="551"/>
      <c r="D12" s="551"/>
      <c r="E12" s="551"/>
      <c r="F12" s="551"/>
      <c r="G12" s="551"/>
    </row>
    <row r="13" spans="1:8" x14ac:dyDescent="0.25">
      <c r="A13" s="124">
        <v>116020</v>
      </c>
      <c r="B13" s="213" t="s">
        <v>61</v>
      </c>
      <c r="C13" s="213"/>
      <c r="D13" s="214"/>
      <c r="E13" s="418">
        <v>10970643</v>
      </c>
      <c r="F13" s="414">
        <f>9634767.27</f>
        <v>9634767.2699999996</v>
      </c>
      <c r="G13" s="215">
        <f>E13-F13</f>
        <v>1335875.7300000004</v>
      </c>
    </row>
    <row r="14" spans="1:8" x14ac:dyDescent="0.25">
      <c r="A14" s="41"/>
      <c r="B14" s="3" t="s">
        <v>62</v>
      </c>
      <c r="C14" s="3"/>
      <c r="D14" s="36"/>
      <c r="E14" s="418">
        <v>2413575</v>
      </c>
      <c r="F14" s="414">
        <f>2092352.4</f>
        <v>2092352.4</v>
      </c>
      <c r="G14" s="6">
        <f>E14-F14</f>
        <v>321222.60000000009</v>
      </c>
      <c r="H14" s="106"/>
    </row>
    <row r="15" spans="1:8" ht="30" x14ac:dyDescent="0.25">
      <c r="A15" s="415"/>
      <c r="B15" s="417" t="s">
        <v>87</v>
      </c>
      <c r="C15" s="416"/>
      <c r="D15" s="416"/>
      <c r="E15" s="418">
        <f>133370+67198.16</f>
        <v>200568.16</v>
      </c>
      <c r="F15" s="414">
        <f>200107.5</f>
        <v>200107.5</v>
      </c>
      <c r="G15" s="6">
        <f>+E15-F15</f>
        <v>460.66000000000349</v>
      </c>
      <c r="H15" s="106"/>
    </row>
    <row r="16" spans="1:8" x14ac:dyDescent="0.25">
      <c r="A16" s="415"/>
      <c r="B16" s="417" t="s">
        <v>350</v>
      </c>
      <c r="C16" s="416"/>
      <c r="D16" s="416"/>
      <c r="E16" s="418">
        <v>189445</v>
      </c>
      <c r="F16" s="414">
        <f>189444.82</f>
        <v>189444.82</v>
      </c>
      <c r="G16" s="6">
        <f t="shared" ref="G16:G47" si="0">+E16-F16</f>
        <v>0.17999999999301508</v>
      </c>
    </row>
    <row r="17" spans="1:7" x14ac:dyDescent="0.25">
      <c r="A17" s="415"/>
      <c r="B17" s="417" t="s">
        <v>351</v>
      </c>
      <c r="C17" s="416"/>
      <c r="D17" s="416"/>
      <c r="E17" s="418">
        <v>58999.5</v>
      </c>
      <c r="F17" s="414">
        <f>58999.5</f>
        <v>58999.5</v>
      </c>
      <c r="G17" s="6">
        <f t="shared" si="0"/>
        <v>0</v>
      </c>
    </row>
    <row r="18" spans="1:7" x14ac:dyDescent="0.25">
      <c r="A18" s="415"/>
      <c r="B18" s="417" t="s">
        <v>63</v>
      </c>
      <c r="C18" s="416">
        <f>19370</f>
        <v>19370</v>
      </c>
      <c r="D18" s="416" t="s">
        <v>54</v>
      </c>
      <c r="E18" s="418">
        <v>925661.2</v>
      </c>
      <c r="F18" s="414">
        <f>925661.2</f>
        <v>925661.2</v>
      </c>
      <c r="G18" s="6">
        <f t="shared" si="0"/>
        <v>0</v>
      </c>
    </row>
    <row r="19" spans="1:7" x14ac:dyDescent="0.25">
      <c r="A19" s="415"/>
      <c r="B19" s="417" t="s">
        <v>64</v>
      </c>
      <c r="C19" s="416">
        <f>1800</f>
        <v>1800</v>
      </c>
      <c r="D19" s="416" t="s">
        <v>54</v>
      </c>
      <c r="E19" s="418">
        <f>87581</f>
        <v>87581</v>
      </c>
      <c r="F19" s="414">
        <f>87581</f>
        <v>87581</v>
      </c>
      <c r="G19" s="6">
        <f t="shared" si="0"/>
        <v>0</v>
      </c>
    </row>
    <row r="20" spans="1:7" ht="30" x14ac:dyDescent="0.25">
      <c r="A20" s="415"/>
      <c r="B20" s="417" t="s">
        <v>65</v>
      </c>
      <c r="C20" s="416">
        <f>10520</f>
        <v>10520</v>
      </c>
      <c r="D20" s="416" t="s">
        <v>54</v>
      </c>
      <c r="E20" s="418">
        <v>242180</v>
      </c>
      <c r="F20" s="414">
        <f>242180</f>
        <v>242180</v>
      </c>
      <c r="G20" s="6">
        <f t="shared" si="0"/>
        <v>0</v>
      </c>
    </row>
    <row r="21" spans="1:7" ht="18" customHeight="1" x14ac:dyDescent="0.25">
      <c r="A21" s="415"/>
      <c r="B21" s="417" t="s">
        <v>66</v>
      </c>
      <c r="C21" s="416">
        <f>17430</f>
        <v>17430</v>
      </c>
      <c r="D21" s="416" t="s">
        <v>54</v>
      </c>
      <c r="E21" s="418">
        <v>840815.9</v>
      </c>
      <c r="F21" s="414">
        <f>840815.9</f>
        <v>840815.9</v>
      </c>
      <c r="G21" s="6">
        <f t="shared" si="0"/>
        <v>0</v>
      </c>
    </row>
    <row r="22" spans="1:7" x14ac:dyDescent="0.25">
      <c r="A22" s="415"/>
      <c r="B22" s="417" t="s">
        <v>85</v>
      </c>
      <c r="C22" s="416"/>
      <c r="D22" s="416"/>
      <c r="E22" s="418">
        <f>83458.24</f>
        <v>83458.240000000005</v>
      </c>
      <c r="F22" s="414">
        <f>83458.24</f>
        <v>83458.240000000005</v>
      </c>
      <c r="G22" s="6">
        <f t="shared" si="0"/>
        <v>0</v>
      </c>
    </row>
    <row r="23" spans="1:7" x14ac:dyDescent="0.25">
      <c r="A23" s="415"/>
      <c r="B23" s="417" t="s">
        <v>67</v>
      </c>
      <c r="C23" s="416">
        <v>21</v>
      </c>
      <c r="D23" s="416" t="s">
        <v>81</v>
      </c>
      <c r="E23" s="418">
        <f>248800</f>
        <v>248800</v>
      </c>
      <c r="F23" s="414">
        <f>248800</f>
        <v>248800</v>
      </c>
      <c r="G23" s="6">
        <f t="shared" si="0"/>
        <v>0</v>
      </c>
    </row>
    <row r="24" spans="1:7" x14ac:dyDescent="0.25">
      <c r="A24" s="415"/>
      <c r="B24" s="417" t="s">
        <v>68</v>
      </c>
      <c r="C24" s="416">
        <f>472</f>
        <v>472</v>
      </c>
      <c r="D24" s="416" t="s">
        <v>81</v>
      </c>
      <c r="E24" s="418">
        <f>191050</f>
        <v>191050</v>
      </c>
      <c r="F24" s="414">
        <f>190974.6</f>
        <v>190974.6</v>
      </c>
      <c r="G24" s="6">
        <f t="shared" si="0"/>
        <v>75.399999999994179</v>
      </c>
    </row>
    <row r="25" spans="1:7" x14ac:dyDescent="0.25">
      <c r="A25" s="415"/>
      <c r="B25" s="417" t="s">
        <v>352</v>
      </c>
      <c r="C25" s="416">
        <v>3.6</v>
      </c>
      <c r="D25" s="416" t="s">
        <v>81</v>
      </c>
      <c r="E25" s="418">
        <f>148900</f>
        <v>148900</v>
      </c>
      <c r="F25" s="414">
        <f>148900</f>
        <v>148900</v>
      </c>
      <c r="G25" s="6">
        <f t="shared" si="0"/>
        <v>0</v>
      </c>
    </row>
    <row r="26" spans="1:7" x14ac:dyDescent="0.25">
      <c r="A26" s="415"/>
      <c r="B26" s="417" t="s">
        <v>353</v>
      </c>
      <c r="C26" s="416"/>
      <c r="D26" s="416"/>
      <c r="E26" s="418">
        <v>34609.74</v>
      </c>
      <c r="F26" s="414">
        <f>34609.74</f>
        <v>34609.74</v>
      </c>
      <c r="G26" s="6">
        <f t="shared" si="0"/>
        <v>0</v>
      </c>
    </row>
    <row r="27" spans="1:7" ht="30" x14ac:dyDescent="0.25">
      <c r="A27" s="415"/>
      <c r="B27" s="417" t="s">
        <v>354</v>
      </c>
      <c r="C27" s="416"/>
      <c r="D27" s="416"/>
      <c r="E27" s="418">
        <f>690745.23</f>
        <v>690745.23</v>
      </c>
      <c r="F27" s="414">
        <f>690744.36</f>
        <v>690744.36</v>
      </c>
      <c r="G27" s="6">
        <f t="shared" si="0"/>
        <v>0.86999999999534339</v>
      </c>
    </row>
    <row r="28" spans="1:7" x14ac:dyDescent="0.25">
      <c r="A28" s="415"/>
      <c r="B28" s="417" t="s">
        <v>355</v>
      </c>
      <c r="C28" s="416"/>
      <c r="D28" s="416"/>
      <c r="E28" s="418">
        <f>99894</f>
        <v>99894</v>
      </c>
      <c r="F28" s="414">
        <f>99894</f>
        <v>99894</v>
      </c>
      <c r="G28" s="6">
        <f t="shared" si="0"/>
        <v>0</v>
      </c>
    </row>
    <row r="29" spans="1:7" ht="30" x14ac:dyDescent="0.25">
      <c r="A29" s="415"/>
      <c r="B29" s="417" t="s">
        <v>356</v>
      </c>
      <c r="C29" s="416"/>
      <c r="D29" s="416"/>
      <c r="E29" s="418">
        <f>104926.8</f>
        <v>104926.8</v>
      </c>
      <c r="F29" s="414">
        <f>104926.8</f>
        <v>104926.8</v>
      </c>
      <c r="G29" s="6">
        <f t="shared" si="0"/>
        <v>0</v>
      </c>
    </row>
    <row r="30" spans="1:7" x14ac:dyDescent="0.25">
      <c r="A30" s="415"/>
      <c r="B30" s="417" t="s">
        <v>357</v>
      </c>
      <c r="C30" s="416">
        <v>13</v>
      </c>
      <c r="D30" s="416" t="s">
        <v>358</v>
      </c>
      <c r="E30" s="418">
        <f>87750</f>
        <v>87750</v>
      </c>
      <c r="F30" s="414">
        <f>87750</f>
        <v>87750</v>
      </c>
      <c r="G30" s="6">
        <f t="shared" si="0"/>
        <v>0</v>
      </c>
    </row>
    <row r="31" spans="1:7" x14ac:dyDescent="0.25">
      <c r="A31" s="415"/>
      <c r="B31" s="417" t="s">
        <v>359</v>
      </c>
      <c r="C31" s="416"/>
      <c r="D31" s="416"/>
      <c r="E31" s="418">
        <f>205597</f>
        <v>205597</v>
      </c>
      <c r="F31" s="414">
        <f>205597</f>
        <v>205597</v>
      </c>
      <c r="G31" s="6">
        <f t="shared" si="0"/>
        <v>0</v>
      </c>
    </row>
    <row r="32" spans="1:7" x14ac:dyDescent="0.25">
      <c r="A32" s="415"/>
      <c r="B32" s="417" t="s">
        <v>360</v>
      </c>
      <c r="C32" s="416"/>
      <c r="D32" s="416"/>
      <c r="E32" s="418">
        <f>6669</f>
        <v>6669</v>
      </c>
      <c r="F32" s="414">
        <v>6669</v>
      </c>
      <c r="G32" s="6">
        <f t="shared" si="0"/>
        <v>0</v>
      </c>
    </row>
    <row r="33" spans="1:8" x14ac:dyDescent="0.25">
      <c r="A33" s="415"/>
      <c r="B33" s="417" t="s">
        <v>361</v>
      </c>
      <c r="C33" s="416">
        <v>70</v>
      </c>
      <c r="D33" s="416" t="s">
        <v>358</v>
      </c>
      <c r="E33" s="418">
        <f>92610</f>
        <v>92610</v>
      </c>
      <c r="F33" s="414">
        <f>92610</f>
        <v>92610</v>
      </c>
      <c r="G33" s="6">
        <f t="shared" si="0"/>
        <v>0</v>
      </c>
    </row>
    <row r="34" spans="1:8" ht="30" x14ac:dyDescent="0.25">
      <c r="A34" s="415"/>
      <c r="B34" s="417" t="s">
        <v>362</v>
      </c>
      <c r="C34" s="416"/>
      <c r="D34" s="416"/>
      <c r="E34" s="418">
        <f>70094.04</f>
        <v>70094.039999999994</v>
      </c>
      <c r="F34" s="414">
        <f>70094.04</f>
        <v>70094.039999999994</v>
      </c>
      <c r="G34" s="6">
        <f t="shared" si="0"/>
        <v>0</v>
      </c>
    </row>
    <row r="35" spans="1:8" x14ac:dyDescent="0.25">
      <c r="A35" s="415"/>
      <c r="B35" s="417" t="s">
        <v>363</v>
      </c>
      <c r="C35" s="416">
        <v>22</v>
      </c>
      <c r="D35" s="416" t="s">
        <v>358</v>
      </c>
      <c r="E35" s="418">
        <f>145101.84</f>
        <v>145101.84</v>
      </c>
      <c r="F35" s="414">
        <f>145101.84</f>
        <v>145101.84</v>
      </c>
      <c r="G35" s="6">
        <f t="shared" si="0"/>
        <v>0</v>
      </c>
    </row>
    <row r="36" spans="1:8" ht="30" x14ac:dyDescent="0.25">
      <c r="A36" s="415"/>
      <c r="B36" s="417" t="s">
        <v>364</v>
      </c>
      <c r="C36" s="416"/>
      <c r="D36" s="416" t="s">
        <v>50</v>
      </c>
      <c r="E36" s="418">
        <f>47591.86</f>
        <v>47591.86</v>
      </c>
      <c r="F36" s="414">
        <v>47591.86</v>
      </c>
      <c r="G36" s="6">
        <f t="shared" si="0"/>
        <v>0</v>
      </c>
    </row>
    <row r="37" spans="1:8" ht="30" x14ac:dyDescent="0.25">
      <c r="A37" s="415"/>
      <c r="B37" s="417" t="s">
        <v>69</v>
      </c>
      <c r="C37" s="416"/>
      <c r="D37" s="416" t="s">
        <v>50</v>
      </c>
      <c r="E37" s="418">
        <f>30973</f>
        <v>30973</v>
      </c>
      <c r="F37" s="414">
        <f>30973</f>
        <v>30973</v>
      </c>
      <c r="G37" s="6">
        <f t="shared" si="0"/>
        <v>0</v>
      </c>
    </row>
    <row r="38" spans="1:8" x14ac:dyDescent="0.25">
      <c r="A38" s="415"/>
      <c r="B38" s="417" t="s">
        <v>365</v>
      </c>
      <c r="C38" s="416"/>
      <c r="D38" s="416" t="s">
        <v>86</v>
      </c>
      <c r="E38" s="418">
        <f>295500</f>
        <v>295500</v>
      </c>
      <c r="F38" s="414">
        <f>295500</f>
        <v>295500</v>
      </c>
      <c r="G38" s="6">
        <f t="shared" si="0"/>
        <v>0</v>
      </c>
    </row>
    <row r="39" spans="1:8" ht="45" x14ac:dyDescent="0.25">
      <c r="A39" s="415"/>
      <c r="B39" s="417" t="s">
        <v>70</v>
      </c>
      <c r="C39" s="416"/>
      <c r="D39" s="416" t="s">
        <v>50</v>
      </c>
      <c r="E39" s="418">
        <f>50000</f>
        <v>50000</v>
      </c>
      <c r="F39" s="414">
        <f>16546</f>
        <v>16546</v>
      </c>
      <c r="G39" s="6">
        <f t="shared" si="0"/>
        <v>33454</v>
      </c>
    </row>
    <row r="40" spans="1:8" ht="30" x14ac:dyDescent="0.25">
      <c r="A40" s="415"/>
      <c r="B40" s="417" t="s">
        <v>366</v>
      </c>
      <c r="C40" s="416"/>
      <c r="D40" s="416" t="s">
        <v>50</v>
      </c>
      <c r="E40" s="418">
        <f>36000</f>
        <v>36000</v>
      </c>
      <c r="F40" s="414">
        <f>36000</f>
        <v>36000</v>
      </c>
      <c r="G40" s="6">
        <f t="shared" si="0"/>
        <v>0</v>
      </c>
    </row>
    <row r="41" spans="1:8" x14ac:dyDescent="0.25">
      <c r="A41" s="415"/>
      <c r="B41" s="417" t="s">
        <v>367</v>
      </c>
      <c r="C41" s="416"/>
      <c r="D41" s="416" t="s">
        <v>50</v>
      </c>
      <c r="E41" s="418">
        <f>197743.79</f>
        <v>197743.79</v>
      </c>
      <c r="F41" s="414">
        <f>197743.79</f>
        <v>197743.79</v>
      </c>
      <c r="G41" s="6">
        <f t="shared" si="0"/>
        <v>0</v>
      </c>
    </row>
    <row r="42" spans="1:8" ht="14.25" customHeight="1" x14ac:dyDescent="0.25">
      <c r="A42" s="415"/>
      <c r="B42" s="417" t="s">
        <v>368</v>
      </c>
      <c r="C42" s="416"/>
      <c r="D42" s="416" t="s">
        <v>50</v>
      </c>
      <c r="E42" s="418">
        <f>20988</f>
        <v>20988</v>
      </c>
      <c r="F42" s="414">
        <f>20988</f>
        <v>20988</v>
      </c>
      <c r="G42" s="6">
        <f t="shared" si="0"/>
        <v>0</v>
      </c>
    </row>
    <row r="43" spans="1:8" ht="45" x14ac:dyDescent="0.25">
      <c r="A43" s="415"/>
      <c r="B43" s="417" t="s">
        <v>369</v>
      </c>
      <c r="C43" s="416"/>
      <c r="D43" s="416" t="s">
        <v>50</v>
      </c>
      <c r="E43" s="418">
        <f>50927</f>
        <v>50927</v>
      </c>
      <c r="F43" s="414">
        <f>50927</f>
        <v>50927</v>
      </c>
      <c r="G43" s="6">
        <f t="shared" si="0"/>
        <v>0</v>
      </c>
    </row>
    <row r="44" spans="1:8" x14ac:dyDescent="0.25">
      <c r="A44" s="415"/>
      <c r="B44" s="417" t="s">
        <v>370</v>
      </c>
      <c r="C44" s="416"/>
      <c r="D44" s="416" t="s">
        <v>86</v>
      </c>
      <c r="E44" s="418">
        <f>113225.58</f>
        <v>113225.58</v>
      </c>
      <c r="F44" s="414">
        <f>113225.04</f>
        <v>113225.04</v>
      </c>
      <c r="G44" s="6">
        <f t="shared" si="0"/>
        <v>0.54000000000814907</v>
      </c>
    </row>
    <row r="45" spans="1:8" ht="30" x14ac:dyDescent="0.25">
      <c r="A45" s="415"/>
      <c r="B45" s="417" t="s">
        <v>371</v>
      </c>
      <c r="C45" s="416"/>
      <c r="D45" s="416" t="s">
        <v>50</v>
      </c>
      <c r="E45" s="418">
        <f>199350.77</f>
        <v>199350.77</v>
      </c>
      <c r="F45" s="414">
        <f>199350.77</f>
        <v>199350.77</v>
      </c>
      <c r="G45" s="6">
        <f t="shared" si="0"/>
        <v>0</v>
      </c>
    </row>
    <row r="46" spans="1:8" x14ac:dyDescent="0.25">
      <c r="A46" s="415"/>
      <c r="B46" s="417" t="s">
        <v>372</v>
      </c>
      <c r="C46" s="416"/>
      <c r="D46" s="416" t="s">
        <v>50</v>
      </c>
      <c r="E46" s="418">
        <f>15000</f>
        <v>15000</v>
      </c>
      <c r="F46" s="414">
        <f>13680</f>
        <v>13680</v>
      </c>
      <c r="G46" s="6">
        <f t="shared" si="0"/>
        <v>1320</v>
      </c>
    </row>
    <row r="47" spans="1:8" x14ac:dyDescent="0.25">
      <c r="A47" s="415"/>
      <c r="B47" s="417" t="s">
        <v>373</v>
      </c>
      <c r="C47" s="416"/>
      <c r="D47" s="416" t="s">
        <v>50</v>
      </c>
      <c r="E47" s="418">
        <f>27650</f>
        <v>27650</v>
      </c>
      <c r="F47" s="414">
        <f>27650</f>
        <v>27650</v>
      </c>
      <c r="G47" s="6">
        <f t="shared" si="0"/>
        <v>0</v>
      </c>
    </row>
    <row r="48" spans="1:8" x14ac:dyDescent="0.25">
      <c r="A48" s="41"/>
      <c r="B48" s="617" t="s">
        <v>42</v>
      </c>
      <c r="C48" s="618"/>
      <c r="D48" s="48"/>
      <c r="E48" s="419">
        <f>SUM(E13:E47)</f>
        <v>19224624.649999995</v>
      </c>
      <c r="F48" s="35">
        <f>SUM(F13:F47)</f>
        <v>17532214.669999998</v>
      </c>
      <c r="G48" s="35">
        <f>SUM(G13:G47)</f>
        <v>1692409.9800000004</v>
      </c>
      <c r="H48" s="106"/>
    </row>
    <row r="49" spans="1:7" x14ac:dyDescent="0.25">
      <c r="A49" s="524" t="s">
        <v>18</v>
      </c>
      <c r="B49" s="525"/>
      <c r="C49" s="525"/>
      <c r="D49" s="525"/>
      <c r="E49" s="525"/>
      <c r="F49" s="525"/>
      <c r="G49" s="526"/>
    </row>
    <row r="50" spans="1:7" ht="29.25" customHeight="1" x14ac:dyDescent="0.25">
      <c r="A50" s="84">
        <v>117670</v>
      </c>
      <c r="B50" s="3" t="s">
        <v>374</v>
      </c>
      <c r="C50" s="29">
        <v>1</v>
      </c>
      <c r="D50" s="110" t="s">
        <v>51</v>
      </c>
      <c r="E50" s="33">
        <v>295000</v>
      </c>
      <c r="F50" s="31">
        <v>288000</v>
      </c>
      <c r="G50" s="31">
        <f>+E50-F50</f>
        <v>7000</v>
      </c>
    </row>
    <row r="51" spans="1:7" ht="31.5" x14ac:dyDescent="0.25">
      <c r="A51" s="82"/>
      <c r="B51" s="3" t="s">
        <v>375</v>
      </c>
      <c r="C51" s="29">
        <v>1</v>
      </c>
      <c r="D51" s="110" t="s">
        <v>358</v>
      </c>
      <c r="E51" s="14">
        <v>4285000</v>
      </c>
      <c r="F51" s="152">
        <v>4285000</v>
      </c>
      <c r="G51" s="31">
        <f t="shared" ref="G51:G55" si="1">+E51-F51</f>
        <v>0</v>
      </c>
    </row>
    <row r="52" spans="1:7" ht="47.25" x14ac:dyDescent="0.25">
      <c r="A52" s="82"/>
      <c r="B52" s="3" t="s">
        <v>376</v>
      </c>
      <c r="C52" s="29">
        <v>1</v>
      </c>
      <c r="D52" s="110" t="s">
        <v>51</v>
      </c>
      <c r="E52" s="33">
        <v>735000</v>
      </c>
      <c r="F52" s="420">
        <v>735000</v>
      </c>
      <c r="G52" s="31">
        <f t="shared" si="1"/>
        <v>0</v>
      </c>
    </row>
    <row r="53" spans="1:7" ht="60" customHeight="1" x14ac:dyDescent="0.25">
      <c r="A53" s="82"/>
      <c r="B53" s="3" t="s">
        <v>377</v>
      </c>
      <c r="C53" s="29">
        <v>1</v>
      </c>
      <c r="D53" s="110" t="s">
        <v>51</v>
      </c>
      <c r="E53" s="33">
        <v>2320064</v>
      </c>
      <c r="F53" s="32">
        <v>2320000</v>
      </c>
      <c r="G53" s="31">
        <f t="shared" si="1"/>
        <v>64</v>
      </c>
    </row>
    <row r="54" spans="1:7" ht="31.5" x14ac:dyDescent="0.25">
      <c r="A54" s="82"/>
      <c r="B54" s="78" t="s">
        <v>378</v>
      </c>
      <c r="C54" s="119">
        <v>1</v>
      </c>
      <c r="D54" s="110" t="s">
        <v>51</v>
      </c>
      <c r="E54" s="33">
        <v>95000</v>
      </c>
      <c r="F54" s="32">
        <v>95000</v>
      </c>
      <c r="G54" s="31">
        <f t="shared" si="1"/>
        <v>0</v>
      </c>
    </row>
    <row r="55" spans="1:7" ht="31.5" x14ac:dyDescent="0.25">
      <c r="A55" s="82"/>
      <c r="B55" s="78" t="s">
        <v>379</v>
      </c>
      <c r="C55" s="119">
        <v>1</v>
      </c>
      <c r="D55" s="110" t="s">
        <v>51</v>
      </c>
      <c r="E55" s="33">
        <v>441000</v>
      </c>
      <c r="F55" s="32">
        <v>441000</v>
      </c>
      <c r="G55" s="31">
        <f t="shared" si="1"/>
        <v>0</v>
      </c>
    </row>
    <row r="56" spans="1:7" x14ac:dyDescent="0.25">
      <c r="A56" s="82"/>
      <c r="B56" s="86" t="s">
        <v>42</v>
      </c>
      <c r="C56" s="87"/>
      <c r="D56" s="112"/>
      <c r="E56" s="89">
        <f>SUM(E50:E55)</f>
        <v>8171064</v>
      </c>
      <c r="F56" s="89">
        <f>SUM(F50:F55)</f>
        <v>8164000</v>
      </c>
      <c r="G56" s="89">
        <f>SUM(G50:G55)</f>
        <v>7064</v>
      </c>
    </row>
    <row r="57" spans="1:7" x14ac:dyDescent="0.25">
      <c r="A57" s="41"/>
      <c r="B57" s="617" t="s">
        <v>141</v>
      </c>
      <c r="C57" s="618"/>
      <c r="D57" s="48"/>
      <c r="E57" s="35">
        <f>E48+E56</f>
        <v>27395688.649999995</v>
      </c>
      <c r="F57" s="35">
        <f>F48+F56</f>
        <v>25696214.669999998</v>
      </c>
      <c r="G57" s="35">
        <f>G48+G56</f>
        <v>1699473.9800000004</v>
      </c>
    </row>
    <row r="58" spans="1:7" x14ac:dyDescent="0.25">
      <c r="A58" s="63"/>
      <c r="B58" s="74" t="s">
        <v>40</v>
      </c>
      <c r="C58" s="66"/>
      <c r="D58" s="111"/>
      <c r="E58" s="66"/>
      <c r="F58" s="70">
        <f>F57/E57*100</f>
        <v>93.796564117398091</v>
      </c>
      <c r="G58" s="71" t="s">
        <v>39</v>
      </c>
    </row>
    <row r="59" spans="1:7" ht="69.75" customHeight="1" x14ac:dyDescent="0.25">
      <c r="A59" s="587" t="s">
        <v>140</v>
      </c>
      <c r="B59" s="587"/>
      <c r="C59" s="587"/>
      <c r="D59" s="587"/>
      <c r="E59" s="587"/>
      <c r="F59" s="587"/>
      <c r="G59" s="587"/>
    </row>
    <row r="60" spans="1:7" ht="18.75" customHeight="1" x14ac:dyDescent="0.25">
      <c r="B60" s="519"/>
      <c r="C60" s="519"/>
      <c r="D60" s="519"/>
      <c r="E60" s="519"/>
      <c r="F60" s="519"/>
      <c r="G60" s="519"/>
    </row>
    <row r="61" spans="1:7" x14ac:dyDescent="0.25">
      <c r="A61" t="s">
        <v>202</v>
      </c>
      <c r="C61" s="317"/>
      <c r="D61" s="325"/>
      <c r="E61" s="326"/>
      <c r="F61" s="318" t="s">
        <v>203</v>
      </c>
      <c r="G61" s="15" t="s">
        <v>204</v>
      </c>
    </row>
  </sheetData>
  <mergeCells count="11">
    <mergeCell ref="F1:G1"/>
    <mergeCell ref="A12:G12"/>
    <mergeCell ref="A49:G49"/>
    <mergeCell ref="B57:C57"/>
    <mergeCell ref="B60:G60"/>
    <mergeCell ref="B48:C48"/>
    <mergeCell ref="A59:G59"/>
    <mergeCell ref="A4:G4"/>
    <mergeCell ref="A5:G5"/>
    <mergeCell ref="A6:G6"/>
    <mergeCell ref="A7:G7"/>
  </mergeCells>
  <pageMargins left="0.39370078740157483" right="0.39370078740157483"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F32"/>
  <sheetViews>
    <sheetView workbookViewId="0">
      <selection activeCell="B8" sqref="B8:B9"/>
    </sheetView>
  </sheetViews>
  <sheetFormatPr defaultRowHeight="15.75" x14ac:dyDescent="0.25"/>
  <cols>
    <col min="1" max="1" width="7.140625" customWidth="1"/>
    <col min="2" max="2" width="35.5703125" style="1" customWidth="1"/>
    <col min="3" max="3" width="17.5703125" style="15" customWidth="1"/>
    <col min="4" max="4" width="14.140625" style="25" customWidth="1"/>
    <col min="5" max="5" width="13.28515625" style="15" customWidth="1"/>
    <col min="6" max="6" width="11.42578125" bestFit="1" customWidth="1"/>
  </cols>
  <sheetData>
    <row r="1" spans="1:6" x14ac:dyDescent="0.25">
      <c r="D1" s="509" t="s">
        <v>233</v>
      </c>
      <c r="E1" s="509"/>
    </row>
    <row r="2" spans="1:6" x14ac:dyDescent="0.25">
      <c r="D2" t="s">
        <v>198</v>
      </c>
      <c r="E2" s="1"/>
    </row>
    <row r="3" spans="1:6" x14ac:dyDescent="0.25">
      <c r="C3" s="1"/>
      <c r="D3" t="s">
        <v>304</v>
      </c>
      <c r="E3" s="1"/>
    </row>
    <row r="4" spans="1:6" x14ac:dyDescent="0.25">
      <c r="A4" s="511" t="s">
        <v>142</v>
      </c>
      <c r="B4" s="511"/>
      <c r="C4" s="511"/>
      <c r="D4" s="511"/>
      <c r="E4" s="511"/>
    </row>
    <row r="5" spans="1:6" ht="33.75" customHeight="1" x14ac:dyDescent="0.25">
      <c r="A5" s="504" t="s">
        <v>380</v>
      </c>
      <c r="B5" s="504"/>
      <c r="C5" s="504"/>
      <c r="D5" s="504"/>
      <c r="E5" s="504"/>
    </row>
    <row r="6" spans="1:6" ht="300.75" customHeight="1" x14ac:dyDescent="0.25">
      <c r="A6" s="548" t="s">
        <v>159</v>
      </c>
      <c r="B6" s="548"/>
      <c r="C6" s="548"/>
      <c r="D6" s="548"/>
      <c r="E6" s="548"/>
    </row>
    <row r="7" spans="1:6" x14ac:dyDescent="0.25">
      <c r="A7" s="49" t="s">
        <v>256</v>
      </c>
      <c r="B7" s="49"/>
      <c r="C7" s="49"/>
      <c r="D7" s="366">
        <f>+C8+C9</f>
        <v>2234412.2999999998</v>
      </c>
      <c r="E7" s="97" t="s">
        <v>37</v>
      </c>
    </row>
    <row r="8" spans="1:6" x14ac:dyDescent="0.25">
      <c r="B8" s="170" t="s">
        <v>33</v>
      </c>
      <c r="C8" s="421">
        <f>D23</f>
        <v>2142972.2999999998</v>
      </c>
      <c r="D8" s="97" t="s">
        <v>37</v>
      </c>
      <c r="E8" s="167"/>
    </row>
    <row r="9" spans="1:6" ht="18.75" customHeight="1" x14ac:dyDescent="0.25">
      <c r="B9" s="169" t="s">
        <v>34</v>
      </c>
      <c r="C9" s="56">
        <f>D27</f>
        <v>91440</v>
      </c>
      <c r="D9" s="96" t="s">
        <v>37</v>
      </c>
      <c r="E9" s="168"/>
    </row>
    <row r="10" spans="1:6" s="11" customFormat="1" ht="30.75" customHeight="1" x14ac:dyDescent="0.25">
      <c r="A10" s="99" t="s">
        <v>24</v>
      </c>
      <c r="B10" s="10" t="s">
        <v>35</v>
      </c>
      <c r="C10" s="10" t="s">
        <v>8</v>
      </c>
      <c r="D10" s="113" t="s">
        <v>9</v>
      </c>
      <c r="E10" s="10" t="s">
        <v>5</v>
      </c>
    </row>
    <row r="11" spans="1:6" x14ac:dyDescent="0.25">
      <c r="A11" s="41"/>
      <c r="B11" s="551" t="s">
        <v>17</v>
      </c>
      <c r="C11" s="551"/>
      <c r="D11" s="551"/>
      <c r="E11" s="551"/>
    </row>
    <row r="12" spans="1:6" x14ac:dyDescent="0.25">
      <c r="A12" s="85">
        <v>116030</v>
      </c>
      <c r="B12" s="3" t="s">
        <v>61</v>
      </c>
      <c r="C12" s="422">
        <v>1330099</v>
      </c>
      <c r="D12" s="422">
        <v>1321270.51</v>
      </c>
      <c r="E12" s="423">
        <f>C12-D12</f>
        <v>8828.4899999999907</v>
      </c>
    </row>
    <row r="13" spans="1:6" x14ac:dyDescent="0.25">
      <c r="A13" s="41"/>
      <c r="B13" s="3" t="s">
        <v>62</v>
      </c>
      <c r="C13" s="422">
        <v>292622</v>
      </c>
      <c r="D13" s="422">
        <v>290679.52</v>
      </c>
      <c r="E13" s="423">
        <f>C13-D13</f>
        <v>1942.4799999999814</v>
      </c>
      <c r="F13" s="106"/>
    </row>
    <row r="14" spans="1:6" ht="30" x14ac:dyDescent="0.25">
      <c r="A14" s="41"/>
      <c r="B14" s="208" t="s">
        <v>268</v>
      </c>
      <c r="C14" s="422">
        <v>32640</v>
      </c>
      <c r="D14" s="422">
        <v>29443.27</v>
      </c>
      <c r="E14" s="424">
        <f>+C14-D14</f>
        <v>3196.7299999999996</v>
      </c>
      <c r="F14" s="106"/>
    </row>
    <row r="15" spans="1:6" ht="15.75" customHeight="1" x14ac:dyDescent="0.25">
      <c r="A15" s="621"/>
      <c r="B15" s="575" t="s">
        <v>381</v>
      </c>
      <c r="C15" s="576"/>
      <c r="D15" s="576"/>
      <c r="E15" s="577"/>
      <c r="F15" s="106"/>
    </row>
    <row r="16" spans="1:6" ht="10.5" customHeight="1" x14ac:dyDescent="0.25">
      <c r="A16" s="622"/>
      <c r="B16" s="578"/>
      <c r="C16" s="501"/>
      <c r="D16" s="501"/>
      <c r="E16" s="580"/>
      <c r="F16" s="106"/>
    </row>
    <row r="17" spans="1:6" ht="15.75" hidden="1" customHeight="1" x14ac:dyDescent="0.25">
      <c r="A17" s="622"/>
      <c r="B17" s="578"/>
      <c r="C17" s="501"/>
      <c r="D17" s="501"/>
      <c r="E17" s="580"/>
      <c r="F17" s="106"/>
    </row>
    <row r="18" spans="1:6" ht="5.25" customHeight="1" x14ac:dyDescent="0.25">
      <c r="A18" s="623"/>
      <c r="B18" s="581"/>
      <c r="C18" s="582"/>
      <c r="D18" s="582"/>
      <c r="E18" s="583"/>
      <c r="F18" s="106"/>
    </row>
    <row r="19" spans="1:6" ht="15" x14ac:dyDescent="0.25">
      <c r="A19" s="41"/>
      <c r="B19" s="425" t="s">
        <v>276</v>
      </c>
      <c r="C19" s="422">
        <v>511900</v>
      </c>
      <c r="D19" s="422">
        <v>501579</v>
      </c>
      <c r="E19" s="423">
        <f>C19-D19</f>
        <v>10321</v>
      </c>
      <c r="F19" s="106"/>
    </row>
    <row r="20" spans="1:6" ht="15.75" customHeight="1" x14ac:dyDescent="0.25">
      <c r="A20" s="41"/>
      <c r="B20" s="554" t="s">
        <v>382</v>
      </c>
      <c r="C20" s="555"/>
      <c r="D20" s="555"/>
      <c r="E20" s="556"/>
    </row>
    <row r="21" spans="1:6" ht="15.75" customHeight="1" x14ac:dyDescent="0.25">
      <c r="A21" s="41"/>
      <c r="B21" s="560"/>
      <c r="C21" s="561"/>
      <c r="D21" s="561"/>
      <c r="E21" s="562"/>
    </row>
    <row r="22" spans="1:6" x14ac:dyDescent="0.25">
      <c r="A22" s="41"/>
      <c r="B22" s="3" t="s">
        <v>126</v>
      </c>
      <c r="C22" s="6">
        <v>12500</v>
      </c>
      <c r="D22" s="6"/>
      <c r="E22" s="423">
        <f t="shared" ref="E22" si="0">C22-D22</f>
        <v>12500</v>
      </c>
    </row>
    <row r="23" spans="1:6" x14ac:dyDescent="0.25">
      <c r="A23" s="41"/>
      <c r="B23" s="201" t="s">
        <v>42</v>
      </c>
      <c r="C23" s="117">
        <f>SUM(C12:C22)</f>
        <v>2179761</v>
      </c>
      <c r="D23" s="35">
        <f>SUM(D12:D22)</f>
        <v>2142972.2999999998</v>
      </c>
      <c r="E23" s="35">
        <f>SUM(E12:E22)</f>
        <v>36788.699999999968</v>
      </c>
      <c r="F23" s="106"/>
    </row>
    <row r="24" spans="1:6" x14ac:dyDescent="0.25">
      <c r="A24" s="552" t="s">
        <v>18</v>
      </c>
      <c r="B24" s="552"/>
      <c r="C24" s="552"/>
      <c r="D24" s="552"/>
      <c r="E24" s="552"/>
    </row>
    <row r="25" spans="1:6" ht="18" customHeight="1" x14ac:dyDescent="0.25">
      <c r="A25" s="84">
        <v>116030</v>
      </c>
      <c r="B25" s="3" t="s">
        <v>383</v>
      </c>
      <c r="C25" s="426">
        <v>91440</v>
      </c>
      <c r="D25" s="426">
        <v>91440</v>
      </c>
      <c r="E25" s="31">
        <f>C25-D25</f>
        <v>0</v>
      </c>
    </row>
    <row r="26" spans="1:6" x14ac:dyDescent="0.25">
      <c r="A26" s="82"/>
      <c r="B26" s="195" t="s">
        <v>42</v>
      </c>
      <c r="C26" s="427">
        <f>+C25</f>
        <v>91440</v>
      </c>
      <c r="D26" s="427">
        <f>+D25</f>
        <v>91440</v>
      </c>
      <c r="E26" s="89">
        <f>SUM(E25:E25)</f>
        <v>0</v>
      </c>
    </row>
    <row r="27" spans="1:6" x14ac:dyDescent="0.25">
      <c r="A27" s="41"/>
      <c r="B27" s="201" t="s">
        <v>19</v>
      </c>
      <c r="C27" s="428">
        <f>+C26</f>
        <v>91440</v>
      </c>
      <c r="D27" s="428">
        <f>+D26</f>
        <v>91440</v>
      </c>
      <c r="E27" s="35">
        <f>E26</f>
        <v>0</v>
      </c>
    </row>
    <row r="28" spans="1:6" x14ac:dyDescent="0.25">
      <c r="A28" s="63"/>
      <c r="B28" s="250" t="s">
        <v>43</v>
      </c>
      <c r="C28" s="35">
        <f>C23+C27</f>
        <v>2271201</v>
      </c>
      <c r="D28" s="35">
        <f>D23+D27</f>
        <v>2234412.2999999998</v>
      </c>
      <c r="E28" s="35">
        <f>E23+E27</f>
        <v>36788.699999999968</v>
      </c>
    </row>
    <row r="29" spans="1:6" x14ac:dyDescent="0.25">
      <c r="A29" s="63"/>
      <c r="B29" s="74" t="s">
        <v>40</v>
      </c>
      <c r="C29" s="66"/>
      <c r="D29" s="70">
        <f>D28/C28*100</f>
        <v>98.380209413433676</v>
      </c>
      <c r="E29" s="71" t="s">
        <v>39</v>
      </c>
    </row>
    <row r="30" spans="1:6" ht="77.25" customHeight="1" x14ac:dyDescent="0.25">
      <c r="A30" s="587" t="s">
        <v>140</v>
      </c>
      <c r="B30" s="587"/>
      <c r="C30" s="587"/>
      <c r="D30" s="587"/>
      <c r="E30" s="587"/>
    </row>
    <row r="31" spans="1:6" ht="18.75" customHeight="1" x14ac:dyDescent="0.25">
      <c r="B31" s="519"/>
      <c r="C31" s="519"/>
      <c r="D31" s="519"/>
      <c r="E31" s="519"/>
    </row>
    <row r="32" spans="1:6" ht="15" x14ac:dyDescent="0.25">
      <c r="A32" t="s">
        <v>202</v>
      </c>
      <c r="B32"/>
      <c r="C32" s="324"/>
      <c r="D32" s="158" t="s">
        <v>203</v>
      </c>
      <c r="E32" t="s">
        <v>204</v>
      </c>
    </row>
  </sheetData>
  <mergeCells count="11">
    <mergeCell ref="D1:E1"/>
    <mergeCell ref="A24:E24"/>
    <mergeCell ref="A30:E30"/>
    <mergeCell ref="B31:E31"/>
    <mergeCell ref="B11:E11"/>
    <mergeCell ref="A4:E4"/>
    <mergeCell ref="A5:E5"/>
    <mergeCell ref="A6:E6"/>
    <mergeCell ref="B15:E18"/>
    <mergeCell ref="A15:A18"/>
    <mergeCell ref="B20:E21"/>
  </mergeCells>
  <pageMargins left="0.39370078740157483" right="0.39370078740157483"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82"/>
  <sheetViews>
    <sheetView topLeftCell="A70" workbookViewId="0">
      <selection activeCell="E67" sqref="E67:E68"/>
    </sheetView>
  </sheetViews>
  <sheetFormatPr defaultRowHeight="15.75" x14ac:dyDescent="0.25"/>
  <cols>
    <col min="1" max="1" width="7.140625" style="44" customWidth="1"/>
    <col min="2" max="2" width="39.7109375" style="1" customWidth="1"/>
    <col min="3" max="3" width="16.42578125" style="4" customWidth="1"/>
    <col min="4" max="4" width="15" style="4" customWidth="1"/>
    <col min="5" max="5" width="15.140625" style="4" customWidth="1"/>
  </cols>
  <sheetData>
    <row r="1" spans="1:8" x14ac:dyDescent="0.25">
      <c r="D1" s="509" t="s">
        <v>225</v>
      </c>
      <c r="E1" s="509"/>
    </row>
    <row r="2" spans="1:8" x14ac:dyDescent="0.25">
      <c r="D2" t="s">
        <v>198</v>
      </c>
      <c r="E2" s="1"/>
    </row>
    <row r="3" spans="1:8" ht="17.25" x14ac:dyDescent="0.25">
      <c r="B3" s="40"/>
      <c r="D3" t="s">
        <v>289</v>
      </c>
      <c r="E3" s="1"/>
    </row>
    <row r="4" spans="1:8" x14ac:dyDescent="0.25">
      <c r="A4" s="517" t="s">
        <v>142</v>
      </c>
      <c r="B4" s="517"/>
      <c r="C4" s="517"/>
      <c r="D4" s="517"/>
      <c r="E4" s="517"/>
    </row>
    <row r="5" spans="1:8" x14ac:dyDescent="0.25">
      <c r="A5" s="517" t="s">
        <v>22</v>
      </c>
      <c r="B5" s="517"/>
      <c r="C5" s="517"/>
      <c r="D5" s="517"/>
      <c r="E5" s="517"/>
    </row>
    <row r="6" spans="1:8" ht="20.25" customHeight="1" x14ac:dyDescent="0.25">
      <c r="A6" s="625" t="s">
        <v>414</v>
      </c>
      <c r="B6" s="625"/>
      <c r="C6" s="625"/>
      <c r="D6" s="625"/>
      <c r="E6" s="625"/>
    </row>
    <row r="7" spans="1:8" ht="306.75" customHeight="1" x14ac:dyDescent="0.25">
      <c r="A7" s="548" t="s">
        <v>154</v>
      </c>
      <c r="B7" s="548"/>
      <c r="C7" s="548"/>
      <c r="D7" s="548"/>
      <c r="E7" s="548"/>
    </row>
    <row r="8" spans="1:8" ht="16.5" x14ac:dyDescent="0.25">
      <c r="A8" s="217" t="s">
        <v>415</v>
      </c>
      <c r="B8" s="217"/>
      <c r="C8" s="217"/>
      <c r="D8" s="466">
        <f>+D77</f>
        <v>31127638.009999998</v>
      </c>
      <c r="E8" s="217"/>
      <c r="H8" s="206"/>
    </row>
    <row r="9" spans="1:8" ht="30" x14ac:dyDescent="0.25">
      <c r="A9" s="159" t="s">
        <v>24</v>
      </c>
      <c r="B9" s="10" t="s">
        <v>12</v>
      </c>
      <c r="C9" s="10" t="s">
        <v>1</v>
      </c>
      <c r="D9" s="10" t="s">
        <v>11</v>
      </c>
      <c r="E9" s="10" t="s">
        <v>5</v>
      </c>
      <c r="H9" s="206"/>
    </row>
    <row r="10" spans="1:8" ht="30" customHeight="1" x14ac:dyDescent="0.25">
      <c r="A10" s="159">
        <v>111010</v>
      </c>
      <c r="B10" s="436" t="s">
        <v>416</v>
      </c>
      <c r="C10" s="447">
        <v>275000</v>
      </c>
      <c r="D10" s="447">
        <v>274997.68</v>
      </c>
      <c r="E10" s="448">
        <f>+C10-D10</f>
        <v>2.3200000000069849</v>
      </c>
      <c r="H10" s="206"/>
    </row>
    <row r="11" spans="1:8" ht="31.5" x14ac:dyDescent="0.25">
      <c r="A11" s="159"/>
      <c r="B11" s="436" t="s">
        <v>417</v>
      </c>
      <c r="C11" s="447">
        <v>433000</v>
      </c>
      <c r="D11" s="447">
        <v>432101.66</v>
      </c>
      <c r="E11" s="448">
        <f t="shared" ref="E11:E18" si="0">+C11-D11</f>
        <v>898.34000000002561</v>
      </c>
      <c r="H11" s="206"/>
    </row>
    <row r="12" spans="1:8" ht="63" x14ac:dyDescent="0.25">
      <c r="A12" s="159"/>
      <c r="B12" s="436" t="s">
        <v>418</v>
      </c>
      <c r="C12" s="447">
        <v>690994</v>
      </c>
      <c r="D12" s="447">
        <v>690993.74</v>
      </c>
      <c r="E12" s="448">
        <f t="shared" si="0"/>
        <v>0.26000000000931323</v>
      </c>
      <c r="H12" s="206"/>
    </row>
    <row r="13" spans="1:8" ht="47.25" x14ac:dyDescent="0.25">
      <c r="A13" s="159"/>
      <c r="B13" s="436" t="s">
        <v>419</v>
      </c>
      <c r="C13" s="447">
        <v>575110</v>
      </c>
      <c r="D13" s="447">
        <v>574704.62</v>
      </c>
      <c r="E13" s="448">
        <f t="shared" si="0"/>
        <v>405.38000000000466</v>
      </c>
      <c r="H13" s="206"/>
    </row>
    <row r="14" spans="1:8" ht="47.25" x14ac:dyDescent="0.25">
      <c r="A14" s="159"/>
      <c r="B14" s="436" t="s">
        <v>420</v>
      </c>
      <c r="C14" s="447">
        <v>569000</v>
      </c>
      <c r="D14" s="447">
        <v>552992.38</v>
      </c>
      <c r="E14" s="448">
        <f t="shared" si="0"/>
        <v>16007.619999999995</v>
      </c>
      <c r="H14" s="206"/>
    </row>
    <row r="15" spans="1:8" ht="47.25" x14ac:dyDescent="0.25">
      <c r="A15" s="159"/>
      <c r="B15" s="436" t="s">
        <v>421</v>
      </c>
      <c r="C15" s="447">
        <v>170000</v>
      </c>
      <c r="D15" s="447">
        <v>170000</v>
      </c>
      <c r="E15" s="448">
        <f t="shared" si="0"/>
        <v>0</v>
      </c>
      <c r="H15" s="206"/>
    </row>
    <row r="16" spans="1:8" ht="47.25" x14ac:dyDescent="0.25">
      <c r="A16" s="159"/>
      <c r="B16" s="449" t="s">
        <v>422</v>
      </c>
      <c r="C16" s="447">
        <v>285200</v>
      </c>
      <c r="D16" s="447">
        <v>284743.55</v>
      </c>
      <c r="E16" s="448">
        <f t="shared" si="0"/>
        <v>456.45000000001164</v>
      </c>
      <c r="H16" s="206"/>
    </row>
    <row r="17" spans="1:8" ht="63" x14ac:dyDescent="0.25">
      <c r="A17" s="159"/>
      <c r="B17" s="436" t="s">
        <v>423</v>
      </c>
      <c r="C17" s="447">
        <v>307584</v>
      </c>
      <c r="D17" s="447">
        <v>307584</v>
      </c>
      <c r="E17" s="448">
        <f t="shared" si="0"/>
        <v>0</v>
      </c>
      <c r="H17" s="206"/>
    </row>
    <row r="18" spans="1:8" ht="16.5" x14ac:dyDescent="0.25">
      <c r="A18" s="159"/>
      <c r="B18" s="436"/>
      <c r="C18" s="447"/>
      <c r="D18" s="447"/>
      <c r="E18" s="448">
        <f t="shared" si="0"/>
        <v>0</v>
      </c>
      <c r="H18" s="206"/>
    </row>
    <row r="19" spans="1:8" ht="16.5" x14ac:dyDescent="0.25">
      <c r="A19" s="159"/>
      <c r="B19" s="21" t="s">
        <v>42</v>
      </c>
      <c r="C19" s="445">
        <f>SUM(C10:C18)</f>
        <v>3305888</v>
      </c>
      <c r="D19" s="445">
        <f>SUM(D10:D18)</f>
        <v>3288117.63</v>
      </c>
      <c r="E19" s="445">
        <f>+C19-D19</f>
        <v>17770.370000000112</v>
      </c>
      <c r="H19" s="206"/>
    </row>
    <row r="20" spans="1:8" ht="47.25" x14ac:dyDescent="0.25">
      <c r="A20" s="45">
        <v>111021</v>
      </c>
      <c r="B20" s="129" t="s">
        <v>424</v>
      </c>
      <c r="C20" s="130">
        <v>194700</v>
      </c>
      <c r="D20" s="450">
        <v>194402.4</v>
      </c>
      <c r="E20" s="130">
        <f>C20-D20</f>
        <v>297.60000000000582</v>
      </c>
    </row>
    <row r="21" spans="1:8" ht="47.25" x14ac:dyDescent="0.25">
      <c r="A21" s="45"/>
      <c r="B21" s="129" t="s">
        <v>425</v>
      </c>
      <c r="C21" s="130">
        <v>2075169</v>
      </c>
      <c r="D21" s="446">
        <v>2075168.38</v>
      </c>
      <c r="E21" s="130">
        <f t="shared" ref="E21:E26" si="1">C21-D21</f>
        <v>0.62000000011175871</v>
      </c>
    </row>
    <row r="22" spans="1:8" ht="47.25" x14ac:dyDescent="0.25">
      <c r="A22" s="45"/>
      <c r="B22" s="129" t="s">
        <v>426</v>
      </c>
      <c r="C22" s="130">
        <v>344000</v>
      </c>
      <c r="D22" s="446">
        <v>339023.39</v>
      </c>
      <c r="E22" s="130">
        <f t="shared" si="1"/>
        <v>4976.609999999986</v>
      </c>
    </row>
    <row r="23" spans="1:8" ht="47.25" x14ac:dyDescent="0.25">
      <c r="A23" s="45"/>
      <c r="B23" s="129" t="s">
        <v>427</v>
      </c>
      <c r="C23" s="130">
        <v>350000</v>
      </c>
      <c r="D23" s="446">
        <v>349503</v>
      </c>
      <c r="E23" s="130">
        <f t="shared" si="1"/>
        <v>497</v>
      </c>
    </row>
    <row r="24" spans="1:8" ht="31.5" x14ac:dyDescent="0.25">
      <c r="A24" s="45"/>
      <c r="B24" s="129" t="s">
        <v>428</v>
      </c>
      <c r="C24" s="130">
        <v>416480</v>
      </c>
      <c r="D24" s="446">
        <v>384370.97</v>
      </c>
      <c r="E24" s="130">
        <f t="shared" si="1"/>
        <v>32109.030000000028</v>
      </c>
    </row>
    <row r="25" spans="1:8" ht="31.5" x14ac:dyDescent="0.25">
      <c r="A25" s="45"/>
      <c r="B25" s="129" t="s">
        <v>429</v>
      </c>
      <c r="C25" s="130">
        <v>360000</v>
      </c>
      <c r="D25" s="446">
        <v>354690.86</v>
      </c>
      <c r="E25" s="130">
        <f t="shared" si="1"/>
        <v>5309.140000000014</v>
      </c>
    </row>
    <row r="26" spans="1:8" ht="47.25" x14ac:dyDescent="0.25">
      <c r="A26" s="45"/>
      <c r="B26" s="129" t="s">
        <v>430</v>
      </c>
      <c r="C26" s="130">
        <v>609212.41</v>
      </c>
      <c r="D26" s="446">
        <v>449233.07</v>
      </c>
      <c r="E26" s="130">
        <f t="shared" si="1"/>
        <v>159979.34000000003</v>
      </c>
    </row>
    <row r="27" spans="1:8" x14ac:dyDescent="0.25">
      <c r="A27" s="45"/>
      <c r="B27" s="129"/>
      <c r="C27" s="130"/>
      <c r="D27" s="446"/>
      <c r="E27" s="130">
        <f t="shared" ref="E27:E75" si="2">C27-D27</f>
        <v>0</v>
      </c>
    </row>
    <row r="28" spans="1:8" x14ac:dyDescent="0.25">
      <c r="A28" s="45"/>
      <c r="B28" s="21" t="s">
        <v>42</v>
      </c>
      <c r="C28" s="171">
        <f>SUM(C20:C27)</f>
        <v>4349561.41</v>
      </c>
      <c r="D28" s="171">
        <f>SUM(D20:D27)</f>
        <v>4146392.0699999994</v>
      </c>
      <c r="E28" s="171">
        <f>C28-D28</f>
        <v>203169.34000000078</v>
      </c>
    </row>
    <row r="29" spans="1:8" ht="31.5" x14ac:dyDescent="0.25">
      <c r="A29" s="457">
        <v>112152</v>
      </c>
      <c r="B29" s="455" t="s">
        <v>435</v>
      </c>
      <c r="C29" s="458">
        <v>250000</v>
      </c>
      <c r="D29" s="458">
        <v>249884.7</v>
      </c>
      <c r="E29" s="456">
        <f t="shared" ref="E29:E34" si="3">+C29-D29</f>
        <v>115.29999999998836</v>
      </c>
    </row>
    <row r="30" spans="1:8" ht="47.25" x14ac:dyDescent="0.25">
      <c r="A30" s="454"/>
      <c r="B30" s="455" t="s">
        <v>436</v>
      </c>
      <c r="C30" s="458">
        <v>455322.82</v>
      </c>
      <c r="D30" s="458">
        <v>455322.82</v>
      </c>
      <c r="E30" s="456">
        <f t="shared" si="3"/>
        <v>0</v>
      </c>
    </row>
    <row r="31" spans="1:8" x14ac:dyDescent="0.25">
      <c r="A31" s="454"/>
      <c r="B31" s="21" t="s">
        <v>42</v>
      </c>
      <c r="C31" s="459">
        <f>SUM(C29:C30)</f>
        <v>705322.82000000007</v>
      </c>
      <c r="D31" s="459">
        <f>SUM(D29:D30)</f>
        <v>705207.52</v>
      </c>
      <c r="E31" s="460">
        <f t="shared" si="3"/>
        <v>115.30000000004657</v>
      </c>
    </row>
    <row r="32" spans="1:8" ht="141.75" x14ac:dyDescent="0.25">
      <c r="A32" s="457">
        <v>113241</v>
      </c>
      <c r="B32" s="455" t="s">
        <v>437</v>
      </c>
      <c r="C32" s="458">
        <v>522033.59</v>
      </c>
      <c r="D32" s="458">
        <v>481046.06</v>
      </c>
      <c r="E32" s="458">
        <f t="shared" si="3"/>
        <v>40987.530000000028</v>
      </c>
    </row>
    <row r="33" spans="1:5" ht="141.75" x14ac:dyDescent="0.25">
      <c r="A33" s="454"/>
      <c r="B33" s="455" t="s">
        <v>438</v>
      </c>
      <c r="C33" s="458">
        <v>127966.41</v>
      </c>
      <c r="D33" s="458">
        <v>127966.41</v>
      </c>
      <c r="E33" s="448">
        <f t="shared" si="3"/>
        <v>0</v>
      </c>
    </row>
    <row r="34" spans="1:5" x14ac:dyDescent="0.25">
      <c r="A34" s="454"/>
      <c r="B34" s="21" t="s">
        <v>42</v>
      </c>
      <c r="C34" s="459">
        <f>SUM(C32:C33)</f>
        <v>650000</v>
      </c>
      <c r="D34" s="459">
        <f>SUM(D32:D33)</f>
        <v>609012.47</v>
      </c>
      <c r="E34" s="459">
        <f t="shared" si="3"/>
        <v>40987.530000000028</v>
      </c>
    </row>
    <row r="35" spans="1:5" ht="94.5" x14ac:dyDescent="0.25">
      <c r="A35" s="45">
        <v>116030</v>
      </c>
      <c r="B35" s="129" t="s">
        <v>439</v>
      </c>
      <c r="C35" s="130">
        <v>50000</v>
      </c>
      <c r="D35" s="446">
        <v>49992</v>
      </c>
      <c r="E35" s="130">
        <f>C35-D35</f>
        <v>8</v>
      </c>
    </row>
    <row r="36" spans="1:5" ht="78.75" x14ac:dyDescent="0.25">
      <c r="A36" s="45"/>
      <c r="B36" s="129" t="s">
        <v>440</v>
      </c>
      <c r="C36" s="130">
        <v>25000</v>
      </c>
      <c r="D36" s="446">
        <v>25000</v>
      </c>
      <c r="E36" s="130">
        <f t="shared" ref="E36:E39" si="4">C36-D36</f>
        <v>0</v>
      </c>
    </row>
    <row r="37" spans="1:5" ht="47.25" x14ac:dyDescent="0.25">
      <c r="A37" s="45"/>
      <c r="B37" s="129" t="s">
        <v>441</v>
      </c>
      <c r="C37" s="130">
        <v>800000</v>
      </c>
      <c r="D37" s="446">
        <v>724269.65</v>
      </c>
      <c r="E37" s="130">
        <f t="shared" si="4"/>
        <v>75730.349999999977</v>
      </c>
    </row>
    <row r="38" spans="1:5" ht="126" x14ac:dyDescent="0.25">
      <c r="A38" s="45"/>
      <c r="B38" s="129" t="s">
        <v>442</v>
      </c>
      <c r="C38" s="130">
        <v>30000</v>
      </c>
      <c r="D38" s="446"/>
      <c r="E38" s="130">
        <f t="shared" si="4"/>
        <v>30000</v>
      </c>
    </row>
    <row r="39" spans="1:5" ht="31.5" x14ac:dyDescent="0.25">
      <c r="A39" s="45"/>
      <c r="B39" s="129" t="s">
        <v>443</v>
      </c>
      <c r="C39" s="130">
        <v>373000</v>
      </c>
      <c r="D39" s="446"/>
      <c r="E39" s="130">
        <f t="shared" si="4"/>
        <v>373000</v>
      </c>
    </row>
    <row r="40" spans="1:5" x14ac:dyDescent="0.25">
      <c r="B40" s="172" t="s">
        <v>42</v>
      </c>
      <c r="C40" s="173">
        <f>SUM(C35:C39)</f>
        <v>1278000</v>
      </c>
      <c r="D40" s="173">
        <f>SUM(D35:D39)</f>
        <v>799261.65</v>
      </c>
      <c r="E40" s="173">
        <f>SUM(E35:E39)</f>
        <v>478738.35</v>
      </c>
    </row>
    <row r="41" spans="1:5" ht="78.75" x14ac:dyDescent="0.25">
      <c r="A41" s="45">
        <v>117310</v>
      </c>
      <c r="B41" s="3" t="s">
        <v>444</v>
      </c>
      <c r="C41" s="176">
        <v>12855856</v>
      </c>
      <c r="D41" s="175">
        <v>946245.59</v>
      </c>
      <c r="E41" s="461">
        <f>C41-D41</f>
        <v>11909610.41</v>
      </c>
    </row>
    <row r="42" spans="1:5" ht="94.5" x14ac:dyDescent="0.25">
      <c r="A42" s="45"/>
      <c r="B42" s="3" t="s">
        <v>445</v>
      </c>
      <c r="C42" s="176">
        <v>100000</v>
      </c>
      <c r="D42" s="175">
        <v>97068</v>
      </c>
      <c r="E42" s="177">
        <f t="shared" ref="E42:E45" si="5">C42-D42</f>
        <v>2932</v>
      </c>
    </row>
    <row r="43" spans="1:5" ht="94.5" x14ac:dyDescent="0.25">
      <c r="A43" s="45"/>
      <c r="B43" s="3" t="s">
        <v>446</v>
      </c>
      <c r="C43" s="176">
        <v>26700</v>
      </c>
      <c r="D43" s="175"/>
      <c r="E43" s="177">
        <f t="shared" si="5"/>
        <v>26700</v>
      </c>
    </row>
    <row r="44" spans="1:5" ht="94.5" x14ac:dyDescent="0.25">
      <c r="A44" s="45"/>
      <c r="B44" s="3" t="s">
        <v>447</v>
      </c>
      <c r="C44" s="176">
        <v>206190</v>
      </c>
      <c r="D44" s="175"/>
      <c r="E44" s="177">
        <f t="shared" si="5"/>
        <v>206190</v>
      </c>
    </row>
    <row r="45" spans="1:5" ht="47.25" x14ac:dyDescent="0.25">
      <c r="A45" s="45"/>
      <c r="B45" s="3" t="s">
        <v>448</v>
      </c>
      <c r="C45" s="176">
        <v>2328800</v>
      </c>
      <c r="D45" s="175">
        <v>2290559.2599999998</v>
      </c>
      <c r="E45" s="177">
        <f t="shared" si="5"/>
        <v>38240.740000000224</v>
      </c>
    </row>
    <row r="46" spans="1:5" x14ac:dyDescent="0.25">
      <c r="A46" s="46"/>
      <c r="B46" s="5" t="s">
        <v>42</v>
      </c>
      <c r="C46" s="178">
        <f>SUM(C41:C45)</f>
        <v>15517546</v>
      </c>
      <c r="D46" s="178">
        <f>SUM(D41:D45)</f>
        <v>3333872.8499999996</v>
      </c>
      <c r="E46" s="462">
        <f>+C46-D46</f>
        <v>12183673.15</v>
      </c>
    </row>
    <row r="47" spans="1:5" ht="63" x14ac:dyDescent="0.25">
      <c r="A47" s="46">
        <v>117321</v>
      </c>
      <c r="B47" s="3" t="s">
        <v>450</v>
      </c>
      <c r="C47" s="176">
        <v>595000</v>
      </c>
      <c r="D47" s="176">
        <v>595000</v>
      </c>
      <c r="E47" s="464">
        <f>+C47-D47</f>
        <v>0</v>
      </c>
    </row>
    <row r="48" spans="1:5" ht="63" x14ac:dyDescent="0.25">
      <c r="A48" s="46"/>
      <c r="B48" s="3" t="s">
        <v>449</v>
      </c>
      <c r="C48" s="176">
        <v>35000</v>
      </c>
      <c r="D48" s="176">
        <v>34893.129999999997</v>
      </c>
      <c r="E48" s="464">
        <f t="shared" ref="E48:E54" si="6">+C48-D48</f>
        <v>106.87000000000262</v>
      </c>
    </row>
    <row r="49" spans="1:5" ht="112.5" customHeight="1" x14ac:dyDescent="0.25">
      <c r="A49" s="46"/>
      <c r="B49" s="3" t="s">
        <v>451</v>
      </c>
      <c r="C49" s="176">
        <v>360000</v>
      </c>
      <c r="D49" s="176">
        <v>360000</v>
      </c>
      <c r="E49" s="464">
        <f t="shared" si="6"/>
        <v>0</v>
      </c>
    </row>
    <row r="50" spans="1:5" ht="78.75" x14ac:dyDescent="0.25">
      <c r="A50" s="46"/>
      <c r="B50" s="3" t="s">
        <v>452</v>
      </c>
      <c r="C50" s="176">
        <v>300000</v>
      </c>
      <c r="D50" s="176">
        <v>274710.3</v>
      </c>
      <c r="E50" s="464">
        <f t="shared" si="6"/>
        <v>25289.700000000012</v>
      </c>
    </row>
    <row r="51" spans="1:5" ht="63" x14ac:dyDescent="0.25">
      <c r="A51" s="46"/>
      <c r="B51" s="3" t="s">
        <v>453</v>
      </c>
      <c r="C51" s="176">
        <v>50000</v>
      </c>
      <c r="D51" s="176">
        <v>50000</v>
      </c>
      <c r="E51" s="464">
        <f t="shared" si="6"/>
        <v>0</v>
      </c>
    </row>
    <row r="52" spans="1:5" ht="63" x14ac:dyDescent="0.25">
      <c r="A52" s="46"/>
      <c r="B52" s="3" t="s">
        <v>454</v>
      </c>
      <c r="C52" s="176">
        <v>50000</v>
      </c>
      <c r="D52" s="176">
        <v>17070</v>
      </c>
      <c r="E52" s="464">
        <f t="shared" si="6"/>
        <v>32930</v>
      </c>
    </row>
    <row r="53" spans="1:5" ht="94.5" x14ac:dyDescent="0.25">
      <c r="A53" s="46"/>
      <c r="B53" s="3" t="s">
        <v>455</v>
      </c>
      <c r="C53" s="176">
        <v>5800000</v>
      </c>
      <c r="D53" s="176">
        <v>0</v>
      </c>
      <c r="E53" s="464">
        <f t="shared" si="6"/>
        <v>5800000</v>
      </c>
    </row>
    <row r="54" spans="1:5" x14ac:dyDescent="0.25">
      <c r="A54" s="46"/>
      <c r="B54" s="5" t="s">
        <v>42</v>
      </c>
      <c r="C54" s="178">
        <f>SUM(C47:C53)</f>
        <v>7190000</v>
      </c>
      <c r="D54" s="178">
        <f>SUM(D47:D53)</f>
        <v>1331673.43</v>
      </c>
      <c r="E54" s="464">
        <f t="shared" si="6"/>
        <v>5858326.5700000003</v>
      </c>
    </row>
    <row r="55" spans="1:5" ht="63" x14ac:dyDescent="0.25">
      <c r="A55" s="45">
        <v>117324</v>
      </c>
      <c r="B55" s="3" t="s">
        <v>456</v>
      </c>
      <c r="C55" s="176">
        <v>650000</v>
      </c>
      <c r="D55" s="175">
        <v>650000</v>
      </c>
      <c r="E55" s="448">
        <f>+C55-D55</f>
        <v>0</v>
      </c>
    </row>
    <row r="56" spans="1:5" ht="110.25" x14ac:dyDescent="0.25">
      <c r="A56" s="45"/>
      <c r="B56" s="3" t="s">
        <v>457</v>
      </c>
      <c r="C56" s="176">
        <v>60000</v>
      </c>
      <c r="D56" s="175">
        <v>60000</v>
      </c>
      <c r="E56" s="448">
        <f t="shared" ref="E56:E58" si="7">+C56-D56</f>
        <v>0</v>
      </c>
    </row>
    <row r="57" spans="1:5" ht="63" x14ac:dyDescent="0.25">
      <c r="A57" s="45"/>
      <c r="B57" s="3" t="s">
        <v>458</v>
      </c>
      <c r="C57" s="176">
        <v>160000</v>
      </c>
      <c r="D57" s="175">
        <v>160000</v>
      </c>
      <c r="E57" s="448">
        <f t="shared" si="7"/>
        <v>0</v>
      </c>
    </row>
    <row r="58" spans="1:5" x14ac:dyDescent="0.25">
      <c r="A58" s="46"/>
      <c r="B58" s="5" t="s">
        <v>42</v>
      </c>
      <c r="C58" s="178">
        <f>SUM(C55:C57)</f>
        <v>870000</v>
      </c>
      <c r="D58" s="178">
        <f>SUM(D55:D57)</f>
        <v>870000</v>
      </c>
      <c r="E58" s="465">
        <f t="shared" si="7"/>
        <v>0</v>
      </c>
    </row>
    <row r="59" spans="1:5" ht="236.25" x14ac:dyDescent="0.25">
      <c r="A59" s="45">
        <v>117330</v>
      </c>
      <c r="B59" s="3" t="s">
        <v>459</v>
      </c>
      <c r="C59" s="176">
        <v>2441231</v>
      </c>
      <c r="D59" s="178"/>
      <c r="E59" s="176">
        <f>C59-D59</f>
        <v>2441231</v>
      </c>
    </row>
    <row r="60" spans="1:5" ht="78.75" x14ac:dyDescent="0.25">
      <c r="A60" s="45"/>
      <c r="B60" s="3" t="s">
        <v>460</v>
      </c>
      <c r="C60" s="176">
        <v>312084</v>
      </c>
      <c r="D60" s="176">
        <v>267230</v>
      </c>
      <c r="E60" s="176">
        <f t="shared" ref="E60:E64" si="8">C60-D60</f>
        <v>44854</v>
      </c>
    </row>
    <row r="61" spans="1:5" ht="78.75" x14ac:dyDescent="0.25">
      <c r="A61" s="45"/>
      <c r="B61" s="3" t="s">
        <v>461</v>
      </c>
      <c r="C61" s="176">
        <v>280283</v>
      </c>
      <c r="D61" s="176">
        <v>221436</v>
      </c>
      <c r="E61" s="176">
        <f t="shared" si="8"/>
        <v>58847</v>
      </c>
    </row>
    <row r="62" spans="1:5" ht="94.5" x14ac:dyDescent="0.25">
      <c r="A62" s="45"/>
      <c r="B62" s="3" t="s">
        <v>462</v>
      </c>
      <c r="C62" s="176">
        <v>387665</v>
      </c>
      <c r="D62" s="176">
        <v>335730</v>
      </c>
      <c r="E62" s="176">
        <f t="shared" si="8"/>
        <v>51935</v>
      </c>
    </row>
    <row r="63" spans="1:5" ht="78.75" x14ac:dyDescent="0.25">
      <c r="A63" s="45"/>
      <c r="B63" s="3" t="s">
        <v>463</v>
      </c>
      <c r="C63" s="176">
        <v>314658</v>
      </c>
      <c r="D63" s="176">
        <v>314657.23</v>
      </c>
      <c r="E63" s="176">
        <f t="shared" si="8"/>
        <v>0.77000000001862645</v>
      </c>
    </row>
    <row r="64" spans="1:5" x14ac:dyDescent="0.25">
      <c r="A64" s="46"/>
      <c r="B64" s="5" t="s">
        <v>42</v>
      </c>
      <c r="C64" s="178">
        <f>SUM(C59:C63)</f>
        <v>3735921</v>
      </c>
      <c r="D64" s="178">
        <f>SUM(D59:D63)</f>
        <v>1139053.23</v>
      </c>
      <c r="E64" s="178">
        <f t="shared" si="8"/>
        <v>2596867.77</v>
      </c>
    </row>
    <row r="65" spans="1:7" ht="78.75" x14ac:dyDescent="0.25">
      <c r="A65" s="46">
        <v>117363</v>
      </c>
      <c r="B65" s="3" t="s">
        <v>464</v>
      </c>
      <c r="C65" s="176">
        <v>8514181.2899999991</v>
      </c>
      <c r="D65" s="176">
        <v>8479550.0199999996</v>
      </c>
      <c r="E65" s="176">
        <f>+C65-D65</f>
        <v>34631.269999999553</v>
      </c>
    </row>
    <row r="66" spans="1:7" x14ac:dyDescent="0.25">
      <c r="A66" s="46"/>
      <c r="B66" s="5" t="s">
        <v>42</v>
      </c>
      <c r="C66" s="178">
        <f>+C65</f>
        <v>8514181.2899999991</v>
      </c>
      <c r="D66" s="178">
        <f t="shared" ref="D66:E66" si="9">+D65</f>
        <v>8479550.0199999996</v>
      </c>
      <c r="E66" s="178">
        <f t="shared" si="9"/>
        <v>34631.269999999553</v>
      </c>
    </row>
    <row r="67" spans="1:7" ht="163.5" customHeight="1" x14ac:dyDescent="0.25">
      <c r="A67" s="46">
        <v>117383</v>
      </c>
      <c r="B67" s="3" t="s">
        <v>465</v>
      </c>
      <c r="C67" s="176">
        <v>16297126</v>
      </c>
      <c r="D67" s="176">
        <v>3170395.52</v>
      </c>
      <c r="E67" s="463">
        <f>+C67-D67</f>
        <v>13126730.48</v>
      </c>
    </row>
    <row r="68" spans="1:7" ht="190.5" customHeight="1" x14ac:dyDescent="0.25">
      <c r="A68" s="46"/>
      <c r="B68" s="3" t="s">
        <v>466</v>
      </c>
      <c r="C68" s="176">
        <v>11762167</v>
      </c>
      <c r="D68" s="178">
        <v>0</v>
      </c>
      <c r="E68" s="463">
        <f>+C68-D68</f>
        <v>11762167</v>
      </c>
    </row>
    <row r="69" spans="1:7" x14ac:dyDescent="0.25">
      <c r="A69" s="453"/>
      <c r="B69" s="5" t="s">
        <v>42</v>
      </c>
      <c r="C69" s="178">
        <f>SUM(C67:C68)</f>
        <v>28059293</v>
      </c>
      <c r="D69" s="178">
        <f>SUM(D67:D68)</f>
        <v>3170395.52</v>
      </c>
      <c r="E69" s="462">
        <f>SUM(E67:E68)</f>
        <v>24888897.48</v>
      </c>
    </row>
    <row r="70" spans="1:7" ht="76.5" customHeight="1" x14ac:dyDescent="0.25">
      <c r="A70" s="45">
        <v>117461</v>
      </c>
      <c r="B70" s="22" t="s">
        <v>467</v>
      </c>
      <c r="C70" s="174">
        <v>1640163</v>
      </c>
      <c r="D70" s="175">
        <v>1640163</v>
      </c>
      <c r="E70" s="130">
        <f t="shared" si="2"/>
        <v>0</v>
      </c>
    </row>
    <row r="71" spans="1:7" ht="82.5" customHeight="1" x14ac:dyDescent="0.25">
      <c r="A71" s="46"/>
      <c r="B71" s="22" t="s">
        <v>468</v>
      </c>
      <c r="C71" s="176">
        <v>1267215</v>
      </c>
      <c r="D71" s="175">
        <v>1267214.56</v>
      </c>
      <c r="E71" s="130">
        <f t="shared" si="2"/>
        <v>0.43999999994412065</v>
      </c>
    </row>
    <row r="72" spans="1:7" ht="60" customHeight="1" x14ac:dyDescent="0.25">
      <c r="A72" s="46"/>
      <c r="B72" s="22" t="s">
        <v>469</v>
      </c>
      <c r="C72" s="176">
        <v>99000</v>
      </c>
      <c r="D72" s="175">
        <v>98240.74</v>
      </c>
      <c r="E72" s="130">
        <f t="shared" si="2"/>
        <v>759.25999999999476</v>
      </c>
    </row>
    <row r="73" spans="1:7" ht="46.5" customHeight="1" x14ac:dyDescent="0.25">
      <c r="A73" s="46"/>
      <c r="B73" s="22" t="s">
        <v>470</v>
      </c>
      <c r="C73" s="176">
        <v>99750</v>
      </c>
      <c r="D73" s="175">
        <v>99741.66</v>
      </c>
      <c r="E73" s="130">
        <f t="shared" si="2"/>
        <v>8.3399999999965075</v>
      </c>
    </row>
    <row r="74" spans="1:7" ht="47.25" customHeight="1" x14ac:dyDescent="0.25">
      <c r="A74" s="46"/>
      <c r="B74" s="22" t="s">
        <v>471</v>
      </c>
      <c r="C74" s="176">
        <v>99750</v>
      </c>
      <c r="D74" s="175">
        <v>99741.66</v>
      </c>
      <c r="E74" s="130">
        <f t="shared" si="2"/>
        <v>8.3399999999965075</v>
      </c>
    </row>
    <row r="75" spans="1:7" ht="79.5" customHeight="1" x14ac:dyDescent="0.25">
      <c r="A75" s="46"/>
      <c r="B75" s="22" t="s">
        <v>468</v>
      </c>
      <c r="C75" s="176">
        <v>50000</v>
      </c>
      <c r="D75" s="175">
        <v>50000</v>
      </c>
      <c r="E75" s="130">
        <f t="shared" si="2"/>
        <v>0</v>
      </c>
    </row>
    <row r="76" spans="1:7" ht="15" customHeight="1" x14ac:dyDescent="0.25">
      <c r="A76" s="46"/>
      <c r="B76" s="5" t="s">
        <v>42</v>
      </c>
      <c r="C76" s="178">
        <f>SUM(C70:C75)</f>
        <v>3255878</v>
      </c>
      <c r="D76" s="178">
        <f>SUM(D70:D75)</f>
        <v>3255101.6200000006</v>
      </c>
      <c r="E76" s="178">
        <f>SUM(E70:E75)</f>
        <v>776.3799999999319</v>
      </c>
    </row>
    <row r="77" spans="1:7" x14ac:dyDescent="0.25">
      <c r="A77" s="46"/>
      <c r="B77" s="5" t="s">
        <v>141</v>
      </c>
      <c r="C77" s="179">
        <f>+C19+C28+C31+C34+C40+C46+C54+C58+C64+C66+C69+C76</f>
        <v>77431591.520000011</v>
      </c>
      <c r="D77" s="179">
        <f>+D19+D28+D31+D34+D40+D46+D54+D58+D64+D66+D69+D76</f>
        <v>31127638.009999998</v>
      </c>
      <c r="E77" s="179">
        <f>+C77-D77</f>
        <v>46303953.510000013</v>
      </c>
    </row>
    <row r="78" spans="1:7" x14ac:dyDescent="0.25">
      <c r="A78" s="77"/>
      <c r="B78" s="74" t="s">
        <v>40</v>
      </c>
      <c r="C78" s="180"/>
      <c r="D78" s="181">
        <f>D77/C77*100</f>
        <v>40.200178504609397</v>
      </c>
      <c r="E78" s="182" t="s">
        <v>39</v>
      </c>
      <c r="G78" t="s">
        <v>122</v>
      </c>
    </row>
    <row r="80" spans="1:7" ht="82.5" customHeight="1" x14ac:dyDescent="0.25">
      <c r="A80" s="587" t="s">
        <v>155</v>
      </c>
      <c r="B80" s="587"/>
      <c r="C80" s="587"/>
      <c r="D80" s="587"/>
      <c r="E80" s="587"/>
      <c r="F80" s="207"/>
      <c r="G80" s="207"/>
    </row>
    <row r="82" spans="1:5" x14ac:dyDescent="0.25">
      <c r="A82" s="624" t="s">
        <v>202</v>
      </c>
      <c r="B82" s="624"/>
      <c r="C82" s="327"/>
      <c r="D82" s="218" t="s">
        <v>203</v>
      </c>
      <c r="E82" s="4" t="s">
        <v>204</v>
      </c>
    </row>
  </sheetData>
  <mergeCells count="7">
    <mergeCell ref="D1:E1"/>
    <mergeCell ref="A82:B82"/>
    <mergeCell ref="A7:E7"/>
    <mergeCell ref="A80:E80"/>
    <mergeCell ref="A4:E4"/>
    <mergeCell ref="A5:E5"/>
    <mergeCell ref="A6:E6"/>
  </mergeCells>
  <pageMargins left="0.39370078740157483" right="0.39370078740157483"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25"/>
  <sheetViews>
    <sheetView workbookViewId="0">
      <selection activeCell="I20" sqref="I20"/>
    </sheetView>
  </sheetViews>
  <sheetFormatPr defaultRowHeight="15.75" x14ac:dyDescent="0.25"/>
  <cols>
    <col min="1" max="1" width="9.140625" style="44"/>
    <col min="2" max="2" width="39.42578125" style="1" customWidth="1"/>
    <col min="3" max="3" width="15.5703125" style="15" customWidth="1"/>
    <col min="4" max="5" width="15.42578125" style="15" customWidth="1"/>
  </cols>
  <sheetData>
    <row r="1" spans="1:7" x14ac:dyDescent="0.25">
      <c r="D1" s="509" t="s">
        <v>491</v>
      </c>
      <c r="E1" s="509"/>
    </row>
    <row r="2" spans="1:7" x14ac:dyDescent="0.25">
      <c r="D2" t="s">
        <v>198</v>
      </c>
      <c r="E2" s="1"/>
    </row>
    <row r="3" spans="1:7" ht="17.25" x14ac:dyDescent="0.25">
      <c r="B3" s="40"/>
      <c r="D3" t="s">
        <v>289</v>
      </c>
      <c r="E3" s="1"/>
    </row>
    <row r="4" spans="1:7" x14ac:dyDescent="0.25">
      <c r="A4" s="517" t="s">
        <v>142</v>
      </c>
      <c r="B4" s="517"/>
      <c r="C4" s="517"/>
      <c r="D4" s="517"/>
      <c r="E4" s="517"/>
    </row>
    <row r="5" spans="1:7" ht="47.25" customHeight="1" x14ac:dyDescent="0.25">
      <c r="A5" s="503" t="s">
        <v>167</v>
      </c>
      <c r="B5" s="503"/>
      <c r="C5" s="503"/>
      <c r="D5" s="503"/>
      <c r="E5" s="503"/>
    </row>
    <row r="6" spans="1:7" ht="123" customHeight="1" x14ac:dyDescent="0.25">
      <c r="A6" s="626" t="s">
        <v>166</v>
      </c>
      <c r="B6" s="626"/>
      <c r="C6" s="626"/>
      <c r="D6" s="626"/>
      <c r="E6" s="626"/>
    </row>
    <row r="7" spans="1:7" x14ac:dyDescent="0.25">
      <c r="A7" s="49" t="s">
        <v>256</v>
      </c>
      <c r="B7" s="49"/>
      <c r="C7" s="49"/>
      <c r="D7" s="487">
        <f>+C8+C9</f>
        <v>3765150</v>
      </c>
      <c r="E7" s="482" t="s">
        <v>37</v>
      </c>
      <c r="F7" s="49"/>
      <c r="G7" s="49"/>
    </row>
    <row r="8" spans="1:7" x14ac:dyDescent="0.25">
      <c r="A8"/>
      <c r="B8" s="315" t="s">
        <v>33</v>
      </c>
      <c r="C8" s="212">
        <f>D12</f>
        <v>100000</v>
      </c>
      <c r="D8" s="482" t="s">
        <v>37</v>
      </c>
      <c r="E8" s="212"/>
      <c r="F8" s="97"/>
      <c r="G8" s="313"/>
    </row>
    <row r="9" spans="1:7" x14ac:dyDescent="0.25">
      <c r="A9"/>
      <c r="B9" s="314" t="s">
        <v>34</v>
      </c>
      <c r="C9" s="219">
        <f>D19</f>
        <v>3665150</v>
      </c>
      <c r="D9" s="483" t="s">
        <v>37</v>
      </c>
      <c r="E9" s="211"/>
      <c r="F9" s="96"/>
      <c r="G9" s="312"/>
    </row>
    <row r="10" spans="1:7" x14ac:dyDescent="0.25">
      <c r="A10" s="45">
        <v>3719800</v>
      </c>
      <c r="B10" s="10" t="s">
        <v>108</v>
      </c>
      <c r="C10" s="10" t="s">
        <v>1</v>
      </c>
      <c r="D10" s="10" t="s">
        <v>11</v>
      </c>
      <c r="E10" s="10" t="s">
        <v>5</v>
      </c>
    </row>
    <row r="11" spans="1:7" ht="57" customHeight="1" x14ac:dyDescent="0.25">
      <c r="A11" s="46"/>
      <c r="B11" s="142" t="s">
        <v>555</v>
      </c>
      <c r="C11" s="37">
        <v>100000</v>
      </c>
      <c r="D11" s="38">
        <v>100000</v>
      </c>
      <c r="E11" s="39"/>
    </row>
    <row r="12" spans="1:7" x14ac:dyDescent="0.25">
      <c r="A12" s="46"/>
      <c r="B12" s="145" t="s">
        <v>16</v>
      </c>
      <c r="C12" s="144">
        <f>+C11</f>
        <v>100000</v>
      </c>
      <c r="D12" s="144">
        <f>SUM(D11:D11)</f>
        <v>100000</v>
      </c>
      <c r="E12" s="39">
        <f>C12-D12</f>
        <v>0</v>
      </c>
    </row>
    <row r="13" spans="1:7" x14ac:dyDescent="0.25">
      <c r="A13" s="45">
        <v>3719800</v>
      </c>
      <c r="B13" s="141" t="s">
        <v>109</v>
      </c>
      <c r="C13" s="14"/>
      <c r="D13" s="14"/>
      <c r="E13" s="14"/>
    </row>
    <row r="14" spans="1:7" ht="47.25" x14ac:dyDescent="0.25">
      <c r="A14" s="46"/>
      <c r="B14" s="142" t="s">
        <v>556</v>
      </c>
      <c r="C14" s="410">
        <v>200000</v>
      </c>
      <c r="D14" s="410">
        <v>200000</v>
      </c>
      <c r="E14" s="14"/>
    </row>
    <row r="15" spans="1:7" ht="47.25" x14ac:dyDescent="0.25">
      <c r="A15" s="46"/>
      <c r="B15" s="142" t="s">
        <v>557</v>
      </c>
      <c r="C15" s="410">
        <v>197150</v>
      </c>
      <c r="D15" s="410">
        <v>197150</v>
      </c>
      <c r="E15" s="14"/>
    </row>
    <row r="16" spans="1:7" ht="63" x14ac:dyDescent="0.25">
      <c r="A16" s="46"/>
      <c r="B16" s="142" t="s">
        <v>558</v>
      </c>
      <c r="C16" s="410">
        <v>410708</v>
      </c>
      <c r="D16" s="410">
        <v>268000</v>
      </c>
      <c r="E16" s="410">
        <f>+C16-D16</f>
        <v>142708</v>
      </c>
    </row>
    <row r="17" spans="1:5" ht="47.25" x14ac:dyDescent="0.25">
      <c r="A17" s="46"/>
      <c r="B17" s="142" t="s">
        <v>559</v>
      </c>
      <c r="C17" s="486">
        <v>3000000</v>
      </c>
      <c r="D17" s="486">
        <v>3000000</v>
      </c>
      <c r="E17" s="14"/>
    </row>
    <row r="18" spans="1:5" ht="23.25" customHeight="1" x14ac:dyDescent="0.25">
      <c r="A18" s="45"/>
      <c r="B18" s="142"/>
      <c r="C18" s="485"/>
      <c r="D18" s="468"/>
      <c r="E18" s="39">
        <f>C18-D18</f>
        <v>0</v>
      </c>
    </row>
    <row r="19" spans="1:5" x14ac:dyDescent="0.25">
      <c r="B19" s="143" t="s">
        <v>19</v>
      </c>
      <c r="C19" s="467">
        <f>SUM(C14:C18)</f>
        <v>3807858</v>
      </c>
      <c r="D19" s="467">
        <f t="shared" ref="D19:E19" si="0">SUM(D14:D18)</f>
        <v>3665150</v>
      </c>
      <c r="E19" s="467">
        <f t="shared" si="0"/>
        <v>142708</v>
      </c>
    </row>
    <row r="20" spans="1:5" x14ac:dyDescent="0.25">
      <c r="A20" s="46"/>
      <c r="B20" s="5" t="s">
        <v>43</v>
      </c>
      <c r="C20" s="7">
        <f>C12+C19</f>
        <v>3907858</v>
      </c>
      <c r="D20" s="7">
        <f>D12+D19</f>
        <v>3765150</v>
      </c>
      <c r="E20" s="7">
        <f>E12+E19</f>
        <v>142708</v>
      </c>
    </row>
    <row r="21" spans="1:5" x14ac:dyDescent="0.25">
      <c r="A21" s="77"/>
      <c r="B21" s="74" t="s">
        <v>40</v>
      </c>
      <c r="C21" s="64"/>
      <c r="D21" s="70">
        <f>D20/C20*100</f>
        <v>96.348178465031225</v>
      </c>
      <c r="E21" s="71" t="s">
        <v>39</v>
      </c>
    </row>
    <row r="23" spans="1:5" ht="21.75" customHeight="1" x14ac:dyDescent="0.25">
      <c r="A23" s="513" t="s">
        <v>473</v>
      </c>
      <c r="B23" s="513"/>
      <c r="C23" s="513"/>
      <c r="D23" s="513"/>
      <c r="E23" s="513"/>
    </row>
    <row r="25" spans="1:5" x14ac:dyDescent="0.25">
      <c r="A25" s="624" t="s">
        <v>202</v>
      </c>
      <c r="B25" s="624"/>
      <c r="C25" s="317"/>
      <c r="D25" s="137" t="s">
        <v>203</v>
      </c>
      <c r="E25" s="15" t="s">
        <v>204</v>
      </c>
    </row>
  </sheetData>
  <mergeCells count="6">
    <mergeCell ref="D1:E1"/>
    <mergeCell ref="A25:B25"/>
    <mergeCell ref="A23:E23"/>
    <mergeCell ref="A5:E5"/>
    <mergeCell ref="A4:E4"/>
    <mergeCell ref="A6:E6"/>
  </mergeCells>
  <pageMargins left="0.39370078740157483" right="0.39370078740157483"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6"/>
  <sheetViews>
    <sheetView topLeftCell="A7" workbookViewId="0">
      <selection activeCell="C9" sqref="C9:E9"/>
    </sheetView>
  </sheetViews>
  <sheetFormatPr defaultRowHeight="15.75" x14ac:dyDescent="0.25"/>
  <cols>
    <col min="1" max="1" width="9.140625" style="44"/>
    <col min="2" max="2" width="39.42578125" style="1" customWidth="1"/>
    <col min="3" max="3" width="15.5703125" style="15" customWidth="1"/>
    <col min="4" max="5" width="15.42578125" style="15" customWidth="1"/>
  </cols>
  <sheetData>
    <row r="1" spans="1:7" x14ac:dyDescent="0.25">
      <c r="D1" s="509" t="s">
        <v>491</v>
      </c>
      <c r="E1" s="509"/>
    </row>
    <row r="2" spans="1:7" x14ac:dyDescent="0.25">
      <c r="D2" t="s">
        <v>198</v>
      </c>
      <c r="E2" s="1"/>
    </row>
    <row r="3" spans="1:7" ht="17.25" x14ac:dyDescent="0.25">
      <c r="B3" s="40"/>
      <c r="D3" t="s">
        <v>289</v>
      </c>
      <c r="E3" s="1"/>
    </row>
    <row r="4" spans="1:7" x14ac:dyDescent="0.25">
      <c r="A4" s="517" t="s">
        <v>142</v>
      </c>
      <c r="B4" s="517"/>
      <c r="C4" s="517"/>
      <c r="D4" s="517"/>
      <c r="E4" s="517"/>
    </row>
    <row r="5" spans="1:7" ht="47.25" customHeight="1" x14ac:dyDescent="0.25">
      <c r="A5" s="503" t="s">
        <v>513</v>
      </c>
      <c r="B5" s="503"/>
      <c r="C5" s="503"/>
      <c r="D5" s="503"/>
      <c r="E5" s="503"/>
    </row>
    <row r="6" spans="1:7" ht="319.5" customHeight="1" x14ac:dyDescent="0.25">
      <c r="A6" s="626" t="s">
        <v>514</v>
      </c>
      <c r="B6" s="626"/>
      <c r="C6" s="626"/>
      <c r="D6" s="626"/>
      <c r="E6" s="626"/>
    </row>
    <row r="7" spans="1:7" x14ac:dyDescent="0.25">
      <c r="A7" s="49" t="s">
        <v>256</v>
      </c>
      <c r="B7" s="49"/>
      <c r="C7" s="49"/>
      <c r="D7" s="487">
        <v>0</v>
      </c>
      <c r="E7" s="482" t="s">
        <v>37</v>
      </c>
      <c r="F7" s="49"/>
      <c r="G7" s="49"/>
    </row>
    <row r="8" spans="1:7" x14ac:dyDescent="0.25">
      <c r="A8"/>
      <c r="B8" s="443"/>
      <c r="C8" s="212"/>
      <c r="D8" s="482"/>
      <c r="E8" s="212"/>
      <c r="F8" s="97"/>
      <c r="G8" s="440"/>
    </row>
    <row r="9" spans="1:7" x14ac:dyDescent="0.25">
      <c r="A9" s="45">
        <v>3719800</v>
      </c>
      <c r="B9" s="10" t="s">
        <v>108</v>
      </c>
      <c r="C9" s="10" t="s">
        <v>1</v>
      </c>
      <c r="D9" s="10" t="s">
        <v>11</v>
      </c>
      <c r="E9" s="10" t="s">
        <v>5</v>
      </c>
    </row>
    <row r="10" spans="1:7" ht="86.25" customHeight="1" x14ac:dyDescent="0.25">
      <c r="A10" s="46"/>
      <c r="B10" s="142" t="s">
        <v>516</v>
      </c>
      <c r="C10" s="37">
        <v>300000</v>
      </c>
      <c r="D10" s="38">
        <v>0</v>
      </c>
      <c r="E10" s="39"/>
    </row>
    <row r="11" spans="1:7" x14ac:dyDescent="0.25">
      <c r="A11" s="46"/>
      <c r="B11" s="5" t="s">
        <v>43</v>
      </c>
      <c r="C11" s="7">
        <f>+C10</f>
        <v>300000</v>
      </c>
      <c r="D11" s="7">
        <f>+D10</f>
        <v>0</v>
      </c>
      <c r="E11" s="7">
        <f>+C11-D11</f>
        <v>300000</v>
      </c>
    </row>
    <row r="12" spans="1:7" x14ac:dyDescent="0.25">
      <c r="A12" s="77"/>
      <c r="B12" s="437" t="s">
        <v>40</v>
      </c>
      <c r="C12" s="64"/>
      <c r="D12" s="70">
        <f>D11/C11*100</f>
        <v>0</v>
      </c>
      <c r="E12" s="71" t="s">
        <v>39</v>
      </c>
    </row>
    <row r="14" spans="1:7" ht="21.75" customHeight="1" x14ac:dyDescent="0.25">
      <c r="A14" s="513" t="s">
        <v>515</v>
      </c>
      <c r="B14" s="513"/>
      <c r="C14" s="513"/>
      <c r="D14" s="513"/>
      <c r="E14" s="513"/>
    </row>
    <row r="16" spans="1:7" x14ac:dyDescent="0.25">
      <c r="A16" s="624" t="s">
        <v>202</v>
      </c>
      <c r="B16" s="624"/>
      <c r="C16" s="317"/>
      <c r="D16" s="137" t="s">
        <v>203</v>
      </c>
      <c r="E16" s="15" t="s">
        <v>204</v>
      </c>
    </row>
  </sheetData>
  <mergeCells count="6">
    <mergeCell ref="A16:B16"/>
    <mergeCell ref="D1:E1"/>
    <mergeCell ref="A4:E4"/>
    <mergeCell ref="A5:E5"/>
    <mergeCell ref="A6:E6"/>
    <mergeCell ref="A14:E14"/>
  </mergeCells>
  <pageMargins left="0.70866141732283472" right="0.70866141732283472" top="0.74803149606299213" bottom="0.74803149606299213" header="0.31496062992125984" footer="0.31496062992125984"/>
  <pageSetup paperSize="9" scale="8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7"/>
  <sheetViews>
    <sheetView topLeftCell="A4" workbookViewId="0">
      <selection activeCell="K20" sqref="K20"/>
    </sheetView>
  </sheetViews>
  <sheetFormatPr defaultRowHeight="15.75" x14ac:dyDescent="0.25"/>
  <cols>
    <col min="1" max="1" width="9.140625" style="44"/>
    <col min="2" max="2" width="39.42578125" style="1" customWidth="1"/>
    <col min="3" max="3" width="15.5703125" style="15" customWidth="1"/>
    <col min="4" max="5" width="15.42578125" style="15" customWidth="1"/>
  </cols>
  <sheetData>
    <row r="1" spans="1:7" x14ac:dyDescent="0.25">
      <c r="D1" s="509" t="s">
        <v>491</v>
      </c>
      <c r="E1" s="509"/>
    </row>
    <row r="2" spans="1:7" x14ac:dyDescent="0.25">
      <c r="D2" t="s">
        <v>198</v>
      </c>
      <c r="E2" s="1"/>
    </row>
    <row r="3" spans="1:7" ht="17.25" x14ac:dyDescent="0.25">
      <c r="B3" s="40"/>
      <c r="D3" t="s">
        <v>289</v>
      </c>
      <c r="E3" s="1"/>
    </row>
    <row r="4" spans="1:7" x14ac:dyDescent="0.25">
      <c r="A4" s="517" t="s">
        <v>142</v>
      </c>
      <c r="B4" s="517"/>
      <c r="C4" s="517"/>
      <c r="D4" s="517"/>
      <c r="E4" s="517"/>
    </row>
    <row r="5" spans="1:7" ht="47.25" customHeight="1" x14ac:dyDescent="0.25">
      <c r="A5" s="503" t="s">
        <v>517</v>
      </c>
      <c r="B5" s="503"/>
      <c r="C5" s="503"/>
      <c r="D5" s="503"/>
      <c r="E5" s="503"/>
    </row>
    <row r="6" spans="1:7" ht="388.5" customHeight="1" x14ac:dyDescent="0.25">
      <c r="A6" s="627" t="s">
        <v>518</v>
      </c>
      <c r="B6" s="627"/>
      <c r="C6" s="627"/>
      <c r="D6" s="627"/>
      <c r="E6" s="627"/>
    </row>
    <row r="7" spans="1:7" x14ac:dyDescent="0.25">
      <c r="A7" s="49" t="s">
        <v>256</v>
      </c>
      <c r="B7" s="49"/>
      <c r="C7" s="49"/>
      <c r="D7" s="484">
        <f>+D12</f>
        <v>310000</v>
      </c>
      <c r="E7" s="482" t="s">
        <v>37</v>
      </c>
      <c r="F7" s="49"/>
      <c r="G7" s="49"/>
    </row>
    <row r="8" spans="1:7" x14ac:dyDescent="0.25">
      <c r="A8"/>
      <c r="B8" s="443"/>
      <c r="C8" s="212"/>
      <c r="D8" s="482"/>
      <c r="E8" s="212"/>
      <c r="F8" s="97"/>
      <c r="G8" s="440"/>
    </row>
    <row r="9" spans="1:7" x14ac:dyDescent="0.25">
      <c r="A9" s="45">
        <v>3719800</v>
      </c>
      <c r="B9" s="10" t="s">
        <v>108</v>
      </c>
      <c r="C9" s="10" t="s">
        <v>1</v>
      </c>
      <c r="D9" s="10" t="s">
        <v>11</v>
      </c>
      <c r="E9" s="10" t="s">
        <v>5</v>
      </c>
    </row>
    <row r="10" spans="1:7" ht="18.75" customHeight="1" x14ac:dyDescent="0.25">
      <c r="A10" s="46"/>
      <c r="B10" s="142" t="s">
        <v>519</v>
      </c>
      <c r="C10" s="37">
        <v>150000</v>
      </c>
      <c r="D10" s="38">
        <v>150000</v>
      </c>
      <c r="E10" s="39"/>
    </row>
    <row r="11" spans="1:7" ht="39" customHeight="1" x14ac:dyDescent="0.25">
      <c r="A11" s="46"/>
      <c r="B11" s="142" t="s">
        <v>520</v>
      </c>
      <c r="C11" s="37">
        <v>160000</v>
      </c>
      <c r="D11" s="38">
        <v>160000</v>
      </c>
      <c r="E11" s="39"/>
    </row>
    <row r="12" spans="1:7" x14ac:dyDescent="0.25">
      <c r="A12" s="46"/>
      <c r="B12" s="5" t="s">
        <v>43</v>
      </c>
      <c r="C12" s="7">
        <f>SUM(C10:C11)</f>
        <v>310000</v>
      </c>
      <c r="D12" s="7">
        <f>SUM(D10:D11)</f>
        <v>310000</v>
      </c>
      <c r="E12" s="7">
        <f>+C12-D12</f>
        <v>0</v>
      </c>
    </row>
    <row r="13" spans="1:7" x14ac:dyDescent="0.25">
      <c r="A13" s="77"/>
      <c r="B13" s="437" t="s">
        <v>40</v>
      </c>
      <c r="C13" s="64"/>
      <c r="D13" s="70">
        <f>D12/C12*100</f>
        <v>100</v>
      </c>
      <c r="E13" s="71" t="s">
        <v>39</v>
      </c>
    </row>
    <row r="15" spans="1:7" ht="21.75" customHeight="1" x14ac:dyDescent="0.25">
      <c r="A15" s="513" t="s">
        <v>473</v>
      </c>
      <c r="B15" s="513"/>
      <c r="C15" s="513"/>
      <c r="D15" s="513"/>
      <c r="E15" s="513"/>
    </row>
    <row r="17" spans="1:5" x14ac:dyDescent="0.25">
      <c r="A17" s="624" t="s">
        <v>202</v>
      </c>
      <c r="B17" s="624"/>
      <c r="C17" s="317"/>
      <c r="D17" s="137" t="s">
        <v>203</v>
      </c>
      <c r="E17" s="15" t="s">
        <v>204</v>
      </c>
    </row>
  </sheetData>
  <mergeCells count="6">
    <mergeCell ref="A17:B17"/>
    <mergeCell ref="D1:E1"/>
    <mergeCell ref="A4:E4"/>
    <mergeCell ref="A5:E5"/>
    <mergeCell ref="A6:E6"/>
    <mergeCell ref="A15:E15"/>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40"/>
  <sheetViews>
    <sheetView workbookViewId="0">
      <selection activeCell="I6" sqref="I6"/>
    </sheetView>
  </sheetViews>
  <sheetFormatPr defaultRowHeight="15.75" x14ac:dyDescent="0.25"/>
  <cols>
    <col min="1" max="1" width="9.140625" style="44"/>
    <col min="2" max="2" width="39.140625" style="1" customWidth="1"/>
    <col min="3" max="3" width="15.5703125" style="15" customWidth="1"/>
    <col min="4" max="5" width="15.42578125" style="15" customWidth="1"/>
  </cols>
  <sheetData>
    <row r="1" spans="1:7" x14ac:dyDescent="0.25">
      <c r="D1" s="509" t="s">
        <v>491</v>
      </c>
      <c r="E1" s="509"/>
    </row>
    <row r="2" spans="1:7" x14ac:dyDescent="0.25">
      <c r="D2" t="s">
        <v>198</v>
      </c>
      <c r="E2" s="1"/>
    </row>
    <row r="3" spans="1:7" ht="17.25" x14ac:dyDescent="0.25">
      <c r="B3" s="40"/>
      <c r="D3" t="s">
        <v>289</v>
      </c>
      <c r="E3" s="1"/>
    </row>
    <row r="4" spans="1:7" x14ac:dyDescent="0.25">
      <c r="A4" s="517" t="s">
        <v>142</v>
      </c>
      <c r="B4" s="517"/>
      <c r="C4" s="517"/>
      <c r="D4" s="517"/>
      <c r="E4" s="517"/>
    </row>
    <row r="5" spans="1:7" ht="25.5" customHeight="1" x14ac:dyDescent="0.25">
      <c r="A5" s="503" t="s">
        <v>521</v>
      </c>
      <c r="B5" s="503"/>
      <c r="C5" s="503"/>
      <c r="D5" s="503"/>
      <c r="E5" s="503"/>
    </row>
    <row r="6" spans="1:7" ht="348.75" customHeight="1" x14ac:dyDescent="0.25">
      <c r="A6" s="627" t="s">
        <v>522</v>
      </c>
      <c r="B6" s="627"/>
      <c r="C6" s="627"/>
      <c r="D6" s="627"/>
      <c r="E6" s="627"/>
    </row>
    <row r="7" spans="1:7" x14ac:dyDescent="0.25">
      <c r="A7" s="49" t="s">
        <v>256</v>
      </c>
      <c r="B7" s="49"/>
      <c r="C7" s="49"/>
      <c r="D7" s="487">
        <f>+D35</f>
        <v>4384974</v>
      </c>
      <c r="E7" s="482" t="s">
        <v>37</v>
      </c>
      <c r="F7" s="49"/>
      <c r="G7" s="49"/>
    </row>
    <row r="8" spans="1:7" x14ac:dyDescent="0.25">
      <c r="A8"/>
      <c r="B8" s="443"/>
      <c r="C8" s="212"/>
      <c r="D8" s="482"/>
      <c r="E8" s="212"/>
      <c r="F8" s="97"/>
      <c r="G8" s="440"/>
    </row>
    <row r="9" spans="1:7" x14ac:dyDescent="0.25">
      <c r="A9" s="488">
        <v>3719800</v>
      </c>
      <c r="B9" s="489" t="s">
        <v>108</v>
      </c>
      <c r="C9" s="489" t="s">
        <v>1</v>
      </c>
      <c r="D9" s="489" t="s">
        <v>11</v>
      </c>
      <c r="E9" s="489" t="s">
        <v>5</v>
      </c>
    </row>
    <row r="10" spans="1:7" ht="63" x14ac:dyDescent="0.25">
      <c r="A10" s="45"/>
      <c r="B10" s="491" t="s">
        <v>523</v>
      </c>
      <c r="C10" s="490">
        <v>125000</v>
      </c>
      <c r="D10" s="490">
        <v>125000</v>
      </c>
      <c r="E10" s="10"/>
    </row>
    <row r="11" spans="1:7" ht="31.5" x14ac:dyDescent="0.25">
      <c r="A11" s="45"/>
      <c r="B11" s="491" t="s">
        <v>524</v>
      </c>
      <c r="C11" s="490">
        <v>42000</v>
      </c>
      <c r="D11" s="490">
        <v>42000</v>
      </c>
      <c r="E11" s="10"/>
    </row>
    <row r="12" spans="1:7" ht="31.5" x14ac:dyDescent="0.25">
      <c r="A12" s="45"/>
      <c r="B12" s="491" t="s">
        <v>525</v>
      </c>
      <c r="C12" s="490">
        <v>186000</v>
      </c>
      <c r="D12" s="490">
        <v>186000</v>
      </c>
      <c r="E12" s="10"/>
    </row>
    <row r="13" spans="1:7" ht="63" x14ac:dyDescent="0.25">
      <c r="A13" s="45"/>
      <c r="B13" s="491" t="s">
        <v>526</v>
      </c>
      <c r="C13" s="490">
        <v>132000</v>
      </c>
      <c r="D13" s="490">
        <v>132000</v>
      </c>
      <c r="E13" s="10"/>
    </row>
    <row r="14" spans="1:7" ht="47.25" x14ac:dyDescent="0.25">
      <c r="A14" s="45"/>
      <c r="B14" s="491" t="s">
        <v>527</v>
      </c>
      <c r="C14" s="490">
        <v>215000</v>
      </c>
      <c r="D14" s="490">
        <v>215000</v>
      </c>
      <c r="E14" s="10"/>
    </row>
    <row r="15" spans="1:7" ht="110.25" x14ac:dyDescent="0.25">
      <c r="A15" s="45"/>
      <c r="B15" s="491" t="s">
        <v>528</v>
      </c>
      <c r="C15" s="490">
        <v>213000</v>
      </c>
      <c r="D15" s="490">
        <v>213000</v>
      </c>
      <c r="E15" s="10"/>
    </row>
    <row r="16" spans="1:7" ht="47.25" x14ac:dyDescent="0.25">
      <c r="A16" s="45"/>
      <c r="B16" s="491" t="s">
        <v>529</v>
      </c>
      <c r="C16" s="490">
        <v>67000</v>
      </c>
      <c r="D16" s="490">
        <v>67000</v>
      </c>
      <c r="E16" s="10"/>
    </row>
    <row r="17" spans="1:5" ht="47.25" x14ac:dyDescent="0.25">
      <c r="A17" s="45"/>
      <c r="B17" s="491" t="s">
        <v>530</v>
      </c>
      <c r="C17" s="490">
        <v>52000</v>
      </c>
      <c r="D17" s="490">
        <v>52000</v>
      </c>
      <c r="E17" s="10"/>
    </row>
    <row r="18" spans="1:5" ht="47.25" x14ac:dyDescent="0.25">
      <c r="A18" s="45"/>
      <c r="B18" s="491" t="s">
        <v>531</v>
      </c>
      <c r="C18" s="490">
        <v>58000</v>
      </c>
      <c r="D18" s="490">
        <v>58000</v>
      </c>
      <c r="E18" s="10"/>
    </row>
    <row r="19" spans="1:5" ht="31.5" x14ac:dyDescent="0.25">
      <c r="A19" s="45"/>
      <c r="B19" s="491" t="s">
        <v>532</v>
      </c>
      <c r="C19" s="490">
        <v>58000</v>
      </c>
      <c r="D19" s="490">
        <v>58000</v>
      </c>
      <c r="E19" s="10"/>
    </row>
    <row r="20" spans="1:5" x14ac:dyDescent="0.25">
      <c r="A20" s="45"/>
      <c r="B20" s="491" t="s">
        <v>533</v>
      </c>
      <c r="C20" s="490">
        <v>32000</v>
      </c>
      <c r="D20" s="490">
        <v>32000</v>
      </c>
      <c r="E20" s="10"/>
    </row>
    <row r="21" spans="1:5" ht="31.5" x14ac:dyDescent="0.25">
      <c r="A21" s="45"/>
      <c r="B21" s="491" t="s">
        <v>534</v>
      </c>
      <c r="C21" s="490">
        <v>785000</v>
      </c>
      <c r="D21" s="490">
        <v>785000</v>
      </c>
      <c r="E21" s="10"/>
    </row>
    <row r="22" spans="1:5" ht="31.5" x14ac:dyDescent="0.25">
      <c r="A22" s="45"/>
      <c r="B22" s="491" t="s">
        <v>535</v>
      </c>
      <c r="C22" s="490">
        <v>35000</v>
      </c>
      <c r="D22" s="490">
        <v>35000</v>
      </c>
      <c r="E22" s="10"/>
    </row>
    <row r="23" spans="1:5" ht="47.25" x14ac:dyDescent="0.25">
      <c r="A23" s="45"/>
      <c r="B23" s="491" t="s">
        <v>536</v>
      </c>
      <c r="C23" s="446">
        <v>30000</v>
      </c>
      <c r="D23" s="446">
        <v>30000</v>
      </c>
      <c r="E23" s="10"/>
    </row>
    <row r="24" spans="1:5" ht="63" x14ac:dyDescent="0.25">
      <c r="A24" s="45"/>
      <c r="B24" s="491" t="s">
        <v>537</v>
      </c>
      <c r="C24" s="446">
        <v>30000</v>
      </c>
      <c r="D24" s="446">
        <v>30000</v>
      </c>
      <c r="E24" s="10"/>
    </row>
    <row r="25" spans="1:5" ht="78.75" x14ac:dyDescent="0.25">
      <c r="A25" s="45"/>
      <c r="B25" s="491" t="s">
        <v>542</v>
      </c>
      <c r="C25" s="446">
        <v>135000</v>
      </c>
      <c r="D25" s="446">
        <v>135000</v>
      </c>
      <c r="E25" s="10"/>
    </row>
    <row r="26" spans="1:5" ht="78.75" x14ac:dyDescent="0.25">
      <c r="A26" s="45"/>
      <c r="B26" s="491" t="s">
        <v>538</v>
      </c>
      <c r="C26" s="446">
        <v>140000</v>
      </c>
      <c r="D26" s="446">
        <v>140000</v>
      </c>
      <c r="E26" s="10"/>
    </row>
    <row r="27" spans="1:5" ht="63" x14ac:dyDescent="0.25">
      <c r="A27" s="45"/>
      <c r="B27" s="491" t="s">
        <v>539</v>
      </c>
      <c r="C27" s="446">
        <v>180000</v>
      </c>
      <c r="D27" s="446">
        <v>180000</v>
      </c>
      <c r="E27" s="10"/>
    </row>
    <row r="28" spans="1:5" x14ac:dyDescent="0.25">
      <c r="A28" s="45"/>
      <c r="B28" s="491" t="s">
        <v>540</v>
      </c>
      <c r="C28" s="446">
        <v>96000</v>
      </c>
      <c r="D28" s="446">
        <v>96000</v>
      </c>
      <c r="E28" s="10"/>
    </row>
    <row r="29" spans="1:5" ht="65.25" customHeight="1" x14ac:dyDescent="0.25">
      <c r="A29" s="45"/>
      <c r="B29" s="491" t="s">
        <v>541</v>
      </c>
      <c r="C29" s="446">
        <v>300000</v>
      </c>
      <c r="D29" s="446">
        <v>300000</v>
      </c>
      <c r="E29" s="10"/>
    </row>
    <row r="30" spans="1:5" ht="47.25" x14ac:dyDescent="0.25">
      <c r="A30" s="45"/>
      <c r="B30" s="491" t="s">
        <v>543</v>
      </c>
      <c r="C30" s="446">
        <v>469000</v>
      </c>
      <c r="D30" s="446">
        <v>469000</v>
      </c>
      <c r="E30" s="10"/>
    </row>
    <row r="31" spans="1:5" ht="47.25" x14ac:dyDescent="0.25">
      <c r="A31" s="45"/>
      <c r="B31" s="491" t="s">
        <v>544</v>
      </c>
      <c r="C31" s="446">
        <v>195000</v>
      </c>
      <c r="D31" s="446">
        <v>195000</v>
      </c>
      <c r="E31" s="10"/>
    </row>
    <row r="32" spans="1:5" ht="31.5" x14ac:dyDescent="0.25">
      <c r="A32" s="45"/>
      <c r="B32" s="491" t="s">
        <v>545</v>
      </c>
      <c r="C32" s="446">
        <v>35000</v>
      </c>
      <c r="D32" s="446">
        <v>35000</v>
      </c>
      <c r="E32" s="10"/>
    </row>
    <row r="33" spans="1:5" ht="31.5" x14ac:dyDescent="0.25">
      <c r="A33" s="45"/>
      <c r="B33" s="491" t="s">
        <v>546</v>
      </c>
      <c r="C33" s="446">
        <v>300000</v>
      </c>
      <c r="D33" s="446">
        <v>300000</v>
      </c>
      <c r="E33" s="10"/>
    </row>
    <row r="34" spans="1:5" ht="31.5" x14ac:dyDescent="0.25">
      <c r="A34" s="45"/>
      <c r="B34" s="491" t="s">
        <v>547</v>
      </c>
      <c r="C34" s="446">
        <v>474974</v>
      </c>
      <c r="D34" s="446">
        <v>474974</v>
      </c>
      <c r="E34" s="10"/>
    </row>
    <row r="35" spans="1:5" x14ac:dyDescent="0.25">
      <c r="A35" s="46"/>
      <c r="B35" s="5" t="s">
        <v>43</v>
      </c>
      <c r="C35" s="7">
        <f>SUM(C10:C34)</f>
        <v>4384974</v>
      </c>
      <c r="D35" s="7">
        <f>SUM(D10:D34)</f>
        <v>4384974</v>
      </c>
      <c r="E35" s="7">
        <f>+C35-D35</f>
        <v>0</v>
      </c>
    </row>
    <row r="36" spans="1:5" x14ac:dyDescent="0.25">
      <c r="A36" s="77"/>
      <c r="B36" s="437" t="s">
        <v>40</v>
      </c>
      <c r="C36" s="64"/>
      <c r="D36" s="70">
        <f>D35/C35*100</f>
        <v>100</v>
      </c>
      <c r="E36" s="71" t="s">
        <v>39</v>
      </c>
    </row>
    <row r="38" spans="1:5" ht="21.75" customHeight="1" x14ac:dyDescent="0.25">
      <c r="A38" s="513" t="s">
        <v>473</v>
      </c>
      <c r="B38" s="513"/>
      <c r="C38" s="513"/>
      <c r="D38" s="513"/>
      <c r="E38" s="513"/>
    </row>
    <row r="40" spans="1:5" x14ac:dyDescent="0.25">
      <c r="A40" s="624" t="s">
        <v>202</v>
      </c>
      <c r="B40" s="624"/>
      <c r="C40" s="317"/>
      <c r="D40" s="137" t="s">
        <v>203</v>
      </c>
      <c r="E40" s="15" t="s">
        <v>204</v>
      </c>
    </row>
  </sheetData>
  <mergeCells count="6">
    <mergeCell ref="A40:B40"/>
    <mergeCell ref="D1:E1"/>
    <mergeCell ref="A4:E4"/>
    <mergeCell ref="A5:E5"/>
    <mergeCell ref="A6:E6"/>
    <mergeCell ref="A38:E38"/>
  </mergeCell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6"/>
  <sheetViews>
    <sheetView topLeftCell="A10" workbookViewId="0">
      <selection activeCell="I10" sqref="I10"/>
    </sheetView>
  </sheetViews>
  <sheetFormatPr defaultRowHeight="15.75" x14ac:dyDescent="0.25"/>
  <cols>
    <col min="1" max="1" width="9.140625" style="44"/>
    <col min="2" max="2" width="39.42578125" style="1" customWidth="1"/>
    <col min="3" max="3" width="15.5703125" style="15" customWidth="1"/>
    <col min="4" max="5" width="15.42578125" style="15" customWidth="1"/>
  </cols>
  <sheetData>
    <row r="1" spans="1:7" x14ac:dyDescent="0.25">
      <c r="D1" s="509" t="s">
        <v>491</v>
      </c>
      <c r="E1" s="509"/>
    </row>
    <row r="2" spans="1:7" x14ac:dyDescent="0.25">
      <c r="D2" t="s">
        <v>198</v>
      </c>
      <c r="E2" s="1"/>
    </row>
    <row r="3" spans="1:7" ht="17.25" x14ac:dyDescent="0.25">
      <c r="B3" s="40"/>
      <c r="D3" t="s">
        <v>289</v>
      </c>
      <c r="E3" s="1"/>
    </row>
    <row r="4" spans="1:7" x14ac:dyDescent="0.25">
      <c r="A4" s="517" t="s">
        <v>142</v>
      </c>
      <c r="B4" s="517"/>
      <c r="C4" s="517"/>
      <c r="D4" s="517"/>
      <c r="E4" s="517"/>
    </row>
    <row r="5" spans="1:7" ht="47.25" customHeight="1" x14ac:dyDescent="0.25">
      <c r="A5" s="503" t="s">
        <v>548</v>
      </c>
      <c r="B5" s="503"/>
      <c r="C5" s="503"/>
      <c r="D5" s="503"/>
      <c r="E5" s="503"/>
    </row>
    <row r="6" spans="1:7" ht="249" customHeight="1" x14ac:dyDescent="0.25">
      <c r="A6" s="627" t="s">
        <v>549</v>
      </c>
      <c r="B6" s="627"/>
      <c r="C6" s="627"/>
      <c r="D6" s="627"/>
      <c r="E6" s="627"/>
    </row>
    <row r="7" spans="1:7" x14ac:dyDescent="0.25">
      <c r="A7" s="49" t="s">
        <v>256</v>
      </c>
      <c r="B7" s="49"/>
      <c r="C7" s="49"/>
      <c r="D7" s="487">
        <f>+D11</f>
        <v>1366100</v>
      </c>
      <c r="E7" s="482" t="s">
        <v>37</v>
      </c>
      <c r="F7" s="49"/>
      <c r="G7" s="49"/>
    </row>
    <row r="8" spans="1:7" x14ac:dyDescent="0.25">
      <c r="A8"/>
      <c r="B8" s="443"/>
      <c r="C8" s="212"/>
      <c r="D8" s="482"/>
      <c r="E8" s="212"/>
      <c r="F8" s="97"/>
      <c r="G8" s="440"/>
    </row>
    <row r="9" spans="1:7" x14ac:dyDescent="0.25">
      <c r="A9" s="45">
        <v>3719800</v>
      </c>
      <c r="B9" s="10" t="s">
        <v>108</v>
      </c>
      <c r="C9" s="10" t="s">
        <v>1</v>
      </c>
      <c r="D9" s="10" t="s">
        <v>11</v>
      </c>
      <c r="E9" s="10" t="s">
        <v>5</v>
      </c>
    </row>
    <row r="10" spans="1:7" ht="275.25" customHeight="1" x14ac:dyDescent="0.25">
      <c r="A10" s="46"/>
      <c r="B10" s="142" t="s">
        <v>550</v>
      </c>
      <c r="C10" s="37">
        <v>1366100</v>
      </c>
      <c r="D10" s="37">
        <v>1366100</v>
      </c>
      <c r="E10" s="39"/>
    </row>
    <row r="11" spans="1:7" x14ac:dyDescent="0.25">
      <c r="A11" s="46"/>
      <c r="B11" s="5" t="s">
        <v>43</v>
      </c>
      <c r="C11" s="7">
        <f>SUM(C10:C10)</f>
        <v>1366100</v>
      </c>
      <c r="D11" s="7">
        <f>SUM(D10:D10)</f>
        <v>1366100</v>
      </c>
      <c r="E11" s="7">
        <f>+C11-D11</f>
        <v>0</v>
      </c>
    </row>
    <row r="12" spans="1:7" x14ac:dyDescent="0.25">
      <c r="A12" s="77"/>
      <c r="B12" s="437" t="s">
        <v>40</v>
      </c>
      <c r="C12" s="64"/>
      <c r="D12" s="70">
        <f>D11/C11*100</f>
        <v>100</v>
      </c>
      <c r="E12" s="71" t="s">
        <v>39</v>
      </c>
    </row>
    <row r="14" spans="1:7" ht="21.75" customHeight="1" x14ac:dyDescent="0.25">
      <c r="A14" s="513" t="s">
        <v>473</v>
      </c>
      <c r="B14" s="513"/>
      <c r="C14" s="513"/>
      <c r="D14" s="513"/>
      <c r="E14" s="513"/>
    </row>
    <row r="16" spans="1:7" x14ac:dyDescent="0.25">
      <c r="A16" s="624" t="s">
        <v>202</v>
      </c>
      <c r="B16" s="624"/>
      <c r="C16" s="317"/>
      <c r="D16" s="137" t="s">
        <v>203</v>
      </c>
      <c r="E16" s="15" t="s">
        <v>204</v>
      </c>
    </row>
  </sheetData>
  <mergeCells count="6">
    <mergeCell ref="A16:B16"/>
    <mergeCell ref="D1:E1"/>
    <mergeCell ref="A4:E4"/>
    <mergeCell ref="A5:E5"/>
    <mergeCell ref="A6:E6"/>
    <mergeCell ref="A14:E14"/>
  </mergeCells>
  <pageMargins left="0.70866141732283472" right="0.70866141732283472" top="0.74803149606299213" bottom="0.74803149606299213" header="0.31496062992125984" footer="0.31496062992125984"/>
  <pageSetup paperSize="9" scale="8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8"/>
  <sheetViews>
    <sheetView topLeftCell="A7" workbookViewId="0">
      <selection activeCell="A12" sqref="A12"/>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509" t="s">
        <v>491</v>
      </c>
      <c r="F1" s="509"/>
    </row>
    <row r="2" spans="1:6" x14ac:dyDescent="0.25">
      <c r="E2" t="s">
        <v>198</v>
      </c>
      <c r="F2" s="1"/>
    </row>
    <row r="3" spans="1:6" x14ac:dyDescent="0.25">
      <c r="E3" t="s">
        <v>284</v>
      </c>
      <c r="F3" s="1"/>
    </row>
    <row r="4" spans="1:6" x14ac:dyDescent="0.25">
      <c r="A4" s="517" t="s">
        <v>142</v>
      </c>
      <c r="B4" s="517"/>
      <c r="C4" s="517"/>
      <c r="D4" s="517"/>
      <c r="E4" s="517"/>
      <c r="F4" s="517"/>
    </row>
    <row r="5" spans="1:6" ht="29.25" customHeight="1" x14ac:dyDescent="0.25">
      <c r="A5" s="503" t="s">
        <v>551</v>
      </c>
      <c r="B5" s="503"/>
      <c r="C5" s="503"/>
      <c r="D5" s="503"/>
      <c r="E5" s="503"/>
      <c r="F5" s="503"/>
    </row>
    <row r="6" spans="1:6" ht="186.75" customHeight="1" x14ac:dyDescent="0.25">
      <c r="A6" s="631" t="s">
        <v>552</v>
      </c>
      <c r="B6" s="631"/>
      <c r="C6" s="631"/>
      <c r="D6" s="631"/>
      <c r="E6" s="631"/>
      <c r="F6" s="631"/>
    </row>
    <row r="7" spans="1:6" ht="115.5" customHeight="1" x14ac:dyDescent="0.25">
      <c r="A7" s="631" t="s">
        <v>553</v>
      </c>
      <c r="B7" s="631"/>
      <c r="C7" s="631"/>
      <c r="D7" s="631"/>
      <c r="E7" s="631"/>
      <c r="F7" s="631"/>
    </row>
    <row r="8" spans="1:6" ht="34.5" customHeight="1" x14ac:dyDescent="0.25">
      <c r="A8" s="631" t="s">
        <v>119</v>
      </c>
      <c r="B8" s="631"/>
      <c r="C8" s="631"/>
      <c r="D8" s="631"/>
      <c r="E8" s="631"/>
      <c r="F8" s="631"/>
    </row>
    <row r="9" spans="1:6" ht="31.5" x14ac:dyDescent="0.25">
      <c r="A9" s="159" t="s">
        <v>118</v>
      </c>
      <c r="B9" s="10" t="s">
        <v>12</v>
      </c>
      <c r="C9" s="10" t="s">
        <v>10</v>
      </c>
      <c r="D9" s="10" t="s">
        <v>1</v>
      </c>
      <c r="E9" s="10" t="s">
        <v>11</v>
      </c>
      <c r="F9" s="10" t="s">
        <v>5</v>
      </c>
    </row>
    <row r="10" spans="1:6" ht="15.75" customHeight="1" x14ac:dyDescent="0.25">
      <c r="A10" s="628" t="s">
        <v>108</v>
      </c>
      <c r="B10" s="629"/>
      <c r="C10" s="629"/>
      <c r="D10" s="629"/>
      <c r="E10" s="629"/>
      <c r="F10" s="630"/>
    </row>
    <row r="11" spans="1:6" x14ac:dyDescent="0.25">
      <c r="A11" s="85">
        <v>3719770</v>
      </c>
      <c r="B11" s="21" t="s">
        <v>13</v>
      </c>
      <c r="C11" s="10"/>
      <c r="D11" s="130"/>
      <c r="E11" s="10"/>
      <c r="F11" s="10"/>
    </row>
    <row r="12" spans="1:6" ht="34.5" customHeight="1" x14ac:dyDescent="0.25">
      <c r="A12" s="41"/>
      <c r="B12" s="3" t="s">
        <v>554</v>
      </c>
      <c r="C12" s="13"/>
      <c r="D12" s="493">
        <v>1200000</v>
      </c>
      <c r="E12" s="423">
        <v>1200000</v>
      </c>
      <c r="F12" s="16"/>
    </row>
    <row r="13" spans="1:6" x14ac:dyDescent="0.25">
      <c r="A13" s="41"/>
      <c r="B13" s="5" t="s">
        <v>3</v>
      </c>
      <c r="C13" s="5"/>
      <c r="D13" s="20">
        <f>SUM(D11:D12)</f>
        <v>1200000</v>
      </c>
      <c r="E13" s="7">
        <f>SUM(E12:E12)</f>
        <v>1200000</v>
      </c>
      <c r="F13" s="7">
        <f>D13-E13</f>
        <v>0</v>
      </c>
    </row>
    <row r="14" spans="1:6" x14ac:dyDescent="0.25">
      <c r="A14" s="41"/>
      <c r="B14" s="155" t="s">
        <v>40</v>
      </c>
      <c r="C14" s="152"/>
      <c r="D14" s="156">
        <f>E13/D13*100</f>
        <v>100</v>
      </c>
      <c r="E14" s="157" t="s">
        <v>39</v>
      </c>
      <c r="F14" s="41"/>
    </row>
    <row r="16" spans="1:6" ht="22.5" customHeight="1" x14ac:dyDescent="0.25">
      <c r="B16" s="610" t="s">
        <v>473</v>
      </c>
      <c r="C16" s="610"/>
      <c r="D16" s="610"/>
      <c r="E16" s="610"/>
    </row>
    <row r="17" spans="1:6" ht="22.5" customHeight="1" x14ac:dyDescent="0.25">
      <c r="B17" s="481"/>
      <c r="C17" s="481"/>
      <c r="D17" s="481"/>
      <c r="E17" s="481"/>
    </row>
    <row r="18" spans="1:6" x14ac:dyDescent="0.25">
      <c r="A18" t="s">
        <v>202</v>
      </c>
      <c r="D18" s="324"/>
      <c r="E18" s="158" t="s">
        <v>203</v>
      </c>
      <c r="F18" t="s">
        <v>204</v>
      </c>
    </row>
  </sheetData>
  <mergeCells count="8">
    <mergeCell ref="A10:F10"/>
    <mergeCell ref="B16:E16"/>
    <mergeCell ref="E1:F1"/>
    <mergeCell ref="A4:F4"/>
    <mergeCell ref="A5:F5"/>
    <mergeCell ref="A6:F6"/>
    <mergeCell ref="A7:F7"/>
    <mergeCell ref="A8:F8"/>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8"/>
  <sheetViews>
    <sheetView workbookViewId="0">
      <selection activeCell="L6" sqref="L6"/>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509" t="s">
        <v>491</v>
      </c>
      <c r="F1" s="509"/>
    </row>
    <row r="2" spans="1:6" x14ac:dyDescent="0.25">
      <c r="E2" t="s">
        <v>198</v>
      </c>
      <c r="F2" s="1"/>
    </row>
    <row r="3" spans="1:6" x14ac:dyDescent="0.25">
      <c r="E3" t="s">
        <v>284</v>
      </c>
      <c r="F3" s="1"/>
    </row>
    <row r="4" spans="1:6" x14ac:dyDescent="0.25">
      <c r="A4" s="517" t="s">
        <v>142</v>
      </c>
      <c r="B4" s="517"/>
      <c r="C4" s="517"/>
      <c r="D4" s="517"/>
      <c r="E4" s="517"/>
      <c r="F4" s="517"/>
    </row>
    <row r="5" spans="1:6" ht="48" customHeight="1" x14ac:dyDescent="0.25">
      <c r="A5" s="503" t="s">
        <v>506</v>
      </c>
      <c r="B5" s="503"/>
      <c r="C5" s="503"/>
      <c r="D5" s="503"/>
      <c r="E5" s="503"/>
      <c r="F5" s="503"/>
    </row>
    <row r="6" spans="1:6" ht="121.5" customHeight="1" x14ac:dyDescent="0.25">
      <c r="A6" s="631" t="s">
        <v>507</v>
      </c>
      <c r="B6" s="631"/>
      <c r="C6" s="631"/>
      <c r="D6" s="631"/>
      <c r="E6" s="631"/>
      <c r="F6" s="631"/>
    </row>
    <row r="7" spans="1:6" ht="69" customHeight="1" x14ac:dyDescent="0.25">
      <c r="A7" s="631" t="s">
        <v>229</v>
      </c>
      <c r="B7" s="631"/>
      <c r="C7" s="631"/>
      <c r="D7" s="631"/>
      <c r="E7" s="631"/>
      <c r="F7" s="631"/>
    </row>
    <row r="8" spans="1:6" ht="34.5" customHeight="1" x14ac:dyDescent="0.25">
      <c r="A8" s="631" t="s">
        <v>119</v>
      </c>
      <c r="B8" s="631"/>
      <c r="C8" s="631"/>
      <c r="D8" s="631"/>
      <c r="E8" s="631"/>
      <c r="F8" s="631"/>
    </row>
    <row r="9" spans="1:6" ht="31.5" x14ac:dyDescent="0.25">
      <c r="A9" s="159" t="s">
        <v>118</v>
      </c>
      <c r="B9" s="10" t="s">
        <v>12</v>
      </c>
      <c r="C9" s="10" t="s">
        <v>10</v>
      </c>
      <c r="D9" s="10" t="s">
        <v>1</v>
      </c>
      <c r="E9" s="10" t="s">
        <v>11</v>
      </c>
      <c r="F9" s="10" t="s">
        <v>5</v>
      </c>
    </row>
    <row r="10" spans="1:6" ht="15.75" customHeight="1" x14ac:dyDescent="0.25">
      <c r="A10" s="628" t="s">
        <v>108</v>
      </c>
      <c r="B10" s="629"/>
      <c r="C10" s="629"/>
      <c r="D10" s="629"/>
      <c r="E10" s="629"/>
      <c r="F10" s="630"/>
    </row>
    <row r="11" spans="1:6" x14ac:dyDescent="0.25">
      <c r="A11" s="85">
        <v>118110</v>
      </c>
      <c r="B11" s="21" t="s">
        <v>13</v>
      </c>
      <c r="C11" s="10"/>
      <c r="D11" s="130"/>
      <c r="E11" s="10"/>
      <c r="F11" s="10"/>
    </row>
    <row r="12" spans="1:6" ht="49.5" customHeight="1" x14ac:dyDescent="0.25">
      <c r="A12" s="41"/>
      <c r="B12" s="3" t="s">
        <v>44</v>
      </c>
      <c r="C12" s="13"/>
      <c r="D12" s="8">
        <v>135000</v>
      </c>
      <c r="E12" s="6">
        <v>119130</v>
      </c>
      <c r="F12" s="16"/>
    </row>
    <row r="13" spans="1:6" x14ac:dyDescent="0.25">
      <c r="A13" s="41"/>
      <c r="B13" s="5" t="s">
        <v>3</v>
      </c>
      <c r="C13" s="5"/>
      <c r="D13" s="20">
        <f>SUM(D11:D12)</f>
        <v>135000</v>
      </c>
      <c r="E13" s="7">
        <f>SUM(E12:E12)</f>
        <v>119130</v>
      </c>
      <c r="F13" s="7">
        <f>D13-E13</f>
        <v>15870</v>
      </c>
    </row>
    <row r="14" spans="1:6" x14ac:dyDescent="0.25">
      <c r="A14" s="41"/>
      <c r="B14" s="155" t="s">
        <v>40</v>
      </c>
      <c r="C14" s="152"/>
      <c r="D14" s="156">
        <f>E13/D13*100</f>
        <v>88.244444444444454</v>
      </c>
      <c r="E14" s="157" t="s">
        <v>39</v>
      </c>
      <c r="F14" s="41"/>
    </row>
    <row r="16" spans="1:6" ht="22.5" customHeight="1" x14ac:dyDescent="0.25">
      <c r="B16" s="632" t="s">
        <v>473</v>
      </c>
      <c r="C16" s="632"/>
      <c r="D16" s="632"/>
      <c r="E16" s="632"/>
    </row>
    <row r="17" spans="1:6" ht="22.5" customHeight="1" x14ac:dyDescent="0.25">
      <c r="B17" s="481"/>
      <c r="C17" s="481"/>
      <c r="D17" s="481"/>
      <c r="E17" s="481"/>
    </row>
    <row r="18" spans="1:6" x14ac:dyDescent="0.25">
      <c r="A18" t="s">
        <v>202</v>
      </c>
      <c r="D18" s="324"/>
      <c r="E18" s="158" t="s">
        <v>203</v>
      </c>
      <c r="F18" t="s">
        <v>204</v>
      </c>
    </row>
  </sheetData>
  <mergeCells count="8">
    <mergeCell ref="B16:E16"/>
    <mergeCell ref="E1:F1"/>
    <mergeCell ref="A10:F10"/>
    <mergeCell ref="A8:F8"/>
    <mergeCell ref="A6:F6"/>
    <mergeCell ref="A7:F7"/>
    <mergeCell ref="A4:F4"/>
    <mergeCell ref="A5:F5"/>
  </mergeCells>
  <pageMargins left="0.39370078740157483" right="0.39370078740157483"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5"/>
  <sheetViews>
    <sheetView workbookViewId="0">
      <selection activeCell="I6" sqref="I6"/>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56.140625" customWidth="1"/>
    <col min="11" max="11" width="14.28515625" customWidth="1"/>
  </cols>
  <sheetData>
    <row r="1" spans="1:7" x14ac:dyDescent="0.25">
      <c r="D1" s="509" t="s">
        <v>491</v>
      </c>
      <c r="E1" s="509"/>
    </row>
    <row r="2" spans="1:7" x14ac:dyDescent="0.25">
      <c r="D2" t="s">
        <v>198</v>
      </c>
    </row>
    <row r="3" spans="1:7" x14ac:dyDescent="0.25">
      <c r="D3" t="s">
        <v>245</v>
      </c>
    </row>
    <row r="4" spans="1:7" x14ac:dyDescent="0.25">
      <c r="A4" s="510" t="s">
        <v>142</v>
      </c>
      <c r="B4" s="510"/>
      <c r="C4" s="510"/>
      <c r="D4" s="510"/>
      <c r="E4" s="510"/>
    </row>
    <row r="5" spans="1:7" ht="55.5" customHeight="1" x14ac:dyDescent="0.25">
      <c r="A5" s="510" t="s">
        <v>509</v>
      </c>
      <c r="B5" s="510"/>
      <c r="C5" s="510"/>
      <c r="D5" s="510"/>
      <c r="E5" s="510"/>
    </row>
    <row r="6" spans="1:7" ht="215.25" customHeight="1" x14ac:dyDescent="0.25">
      <c r="A6" s="548" t="s">
        <v>510</v>
      </c>
      <c r="B6" s="548"/>
      <c r="C6" s="548"/>
      <c r="D6" s="548"/>
      <c r="E6" s="548"/>
      <c r="G6" s="206"/>
    </row>
    <row r="7" spans="1:7" x14ac:dyDescent="0.25">
      <c r="A7" s="633" t="s">
        <v>256</v>
      </c>
      <c r="B7" s="633"/>
      <c r="C7" s="633"/>
      <c r="D7" s="328">
        <f>D11</f>
        <v>36914.639999999999</v>
      </c>
      <c r="E7" s="49" t="s">
        <v>37</v>
      </c>
      <c r="F7" s="49"/>
      <c r="G7" s="49"/>
    </row>
    <row r="8" spans="1:7" ht="16.5" x14ac:dyDescent="0.25">
      <c r="G8" s="206"/>
    </row>
    <row r="9" spans="1:7" ht="31.5" x14ac:dyDescent="0.25">
      <c r="A9" s="10" t="s">
        <v>24</v>
      </c>
      <c r="B9" s="10" t="s">
        <v>12</v>
      </c>
      <c r="C9" s="10" t="s">
        <v>1</v>
      </c>
      <c r="D9" s="10" t="s">
        <v>11</v>
      </c>
      <c r="E9" s="10" t="s">
        <v>5</v>
      </c>
      <c r="G9" s="206"/>
    </row>
    <row r="10" spans="1:7" ht="32.25" customHeight="1" x14ac:dyDescent="0.25">
      <c r="A10" s="36">
        <v>118110</v>
      </c>
      <c r="B10" s="101" t="s">
        <v>160</v>
      </c>
      <c r="C10" s="37">
        <v>37500</v>
      </c>
      <c r="D10" s="38">
        <v>36914.639999999999</v>
      </c>
      <c r="E10" s="39">
        <f>C10-D10</f>
        <v>585.36000000000058</v>
      </c>
      <c r="G10" s="206"/>
    </row>
    <row r="11" spans="1:7" ht="16.5" x14ac:dyDescent="0.25">
      <c r="A11" s="611" t="s">
        <v>16</v>
      </c>
      <c r="B11" s="612"/>
      <c r="C11" s="51">
        <f>SUM(C10:C10)</f>
        <v>37500</v>
      </c>
      <c r="D11" s="51">
        <f>SUM(D10:D10)</f>
        <v>36914.639999999999</v>
      </c>
      <c r="E11" s="51">
        <f>SUM(E10:E10)</f>
        <v>585.36000000000058</v>
      </c>
      <c r="G11" s="206"/>
    </row>
    <row r="12" spans="1:7" ht="16.5" x14ac:dyDescent="0.25">
      <c r="A12" s="78"/>
      <c r="B12" s="74" t="s">
        <v>40</v>
      </c>
      <c r="C12" s="59"/>
      <c r="D12" s="79">
        <f>D11/C11*100</f>
        <v>98.439040000000006</v>
      </c>
      <c r="E12" s="60" t="s">
        <v>39</v>
      </c>
      <c r="G12" s="206"/>
    </row>
    <row r="13" spans="1:7" ht="16.5" x14ac:dyDescent="0.25">
      <c r="G13" s="206"/>
    </row>
    <row r="14" spans="1:7" ht="23.25" customHeight="1" x14ac:dyDescent="0.25">
      <c r="A14" s="548" t="s">
        <v>508</v>
      </c>
      <c r="B14" s="548"/>
      <c r="C14" s="548"/>
      <c r="D14" s="548"/>
      <c r="E14" s="548"/>
    </row>
    <row r="15" spans="1:7" ht="28.5" customHeight="1" x14ac:dyDescent="0.25">
      <c r="A15" s="610" t="s">
        <v>202</v>
      </c>
      <c r="B15" s="610"/>
      <c r="C15" s="189"/>
      <c r="D15" s="30" t="s">
        <v>203</v>
      </c>
      <c r="E15" s="1" t="s">
        <v>204</v>
      </c>
    </row>
  </sheetData>
  <mergeCells count="8">
    <mergeCell ref="D1:E1"/>
    <mergeCell ref="A15:B15"/>
    <mergeCell ref="A14:E14"/>
    <mergeCell ref="A5:E5"/>
    <mergeCell ref="A4:E4"/>
    <mergeCell ref="A11:B11"/>
    <mergeCell ref="A6:E6"/>
    <mergeCell ref="A7:C7"/>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26"/>
  <sheetViews>
    <sheetView workbookViewId="0">
      <selection activeCell="A16" sqref="A16:E21"/>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56.140625" customWidth="1"/>
    <col min="11" max="11" width="14.28515625" customWidth="1"/>
  </cols>
  <sheetData>
    <row r="1" spans="1:11" x14ac:dyDescent="0.25">
      <c r="D1" s="509" t="s">
        <v>491</v>
      </c>
      <c r="E1" s="509"/>
    </row>
    <row r="2" spans="1:11" x14ac:dyDescent="0.25">
      <c r="D2" t="s">
        <v>198</v>
      </c>
    </row>
    <row r="3" spans="1:11" x14ac:dyDescent="0.25">
      <c r="D3" t="s">
        <v>289</v>
      </c>
    </row>
    <row r="4" spans="1:11" x14ac:dyDescent="0.25">
      <c r="A4" s="510" t="s">
        <v>142</v>
      </c>
      <c r="B4" s="510"/>
      <c r="C4" s="510"/>
      <c r="D4" s="510"/>
      <c r="E4" s="510"/>
    </row>
    <row r="5" spans="1:11" ht="55.5" customHeight="1" x14ac:dyDescent="0.25">
      <c r="A5" s="510" t="s">
        <v>502</v>
      </c>
      <c r="B5" s="510"/>
      <c r="C5" s="510"/>
      <c r="D5" s="510"/>
      <c r="E5" s="510"/>
    </row>
    <row r="6" spans="1:11" ht="163.5" customHeight="1" x14ac:dyDescent="0.25">
      <c r="A6" s="548" t="s">
        <v>503</v>
      </c>
      <c r="B6" s="548"/>
      <c r="C6" s="548"/>
      <c r="D6" s="548"/>
      <c r="E6" s="548"/>
      <c r="G6" s="206"/>
    </row>
    <row r="7" spans="1:11" x14ac:dyDescent="0.25">
      <c r="A7" s="633" t="s">
        <v>256</v>
      </c>
      <c r="B7" s="633"/>
      <c r="C7" s="633"/>
      <c r="D7" s="492">
        <f>+C8+C9</f>
        <v>856369.78</v>
      </c>
      <c r="E7" s="429" t="s">
        <v>37</v>
      </c>
      <c r="F7" s="49"/>
      <c r="G7" s="49"/>
    </row>
    <row r="8" spans="1:11" x14ac:dyDescent="0.25">
      <c r="A8" s="444"/>
      <c r="B8" s="443" t="s">
        <v>33</v>
      </c>
      <c r="C8" s="480">
        <f>+D14</f>
        <v>226369.78</v>
      </c>
      <c r="D8" s="429" t="s">
        <v>37</v>
      </c>
      <c r="E8" s="49"/>
      <c r="F8" s="49"/>
      <c r="G8" s="49"/>
    </row>
    <row r="9" spans="1:11" x14ac:dyDescent="0.25">
      <c r="A9" s="444"/>
      <c r="B9" s="441" t="s">
        <v>34</v>
      </c>
      <c r="C9" s="421">
        <f>+D19</f>
        <v>630000</v>
      </c>
      <c r="D9" s="429" t="s">
        <v>37</v>
      </c>
      <c r="E9" s="49"/>
      <c r="F9" s="49"/>
      <c r="G9" s="49"/>
    </row>
    <row r="10" spans="1:11" ht="16.5" x14ac:dyDescent="0.25">
      <c r="G10" s="206"/>
    </row>
    <row r="11" spans="1:11" ht="31.5" x14ac:dyDescent="0.25">
      <c r="A11" s="10" t="s">
        <v>24</v>
      </c>
      <c r="B11" s="10" t="s">
        <v>12</v>
      </c>
      <c r="C11" s="10" t="s">
        <v>1</v>
      </c>
      <c r="D11" s="10" t="s">
        <v>11</v>
      </c>
      <c r="E11" s="10" t="s">
        <v>5</v>
      </c>
      <c r="G11" s="206"/>
    </row>
    <row r="12" spans="1:11" ht="82.5" customHeight="1" x14ac:dyDescent="0.25">
      <c r="A12" s="36">
        <v>118110</v>
      </c>
      <c r="B12" s="18" t="s">
        <v>504</v>
      </c>
      <c r="C12" s="37">
        <v>39500</v>
      </c>
      <c r="D12" s="38">
        <v>39500</v>
      </c>
      <c r="E12" s="39">
        <f>+C12-D12</f>
        <v>0</v>
      </c>
      <c r="G12" s="206"/>
    </row>
    <row r="13" spans="1:11" ht="141.75" x14ac:dyDescent="0.25">
      <c r="A13" s="36"/>
      <c r="B13" s="18" t="s">
        <v>156</v>
      </c>
      <c r="C13" s="37">
        <v>187000</v>
      </c>
      <c r="D13" s="38">
        <v>186869.78</v>
      </c>
      <c r="E13" s="39">
        <f>+C13-D13</f>
        <v>130.22000000000116</v>
      </c>
      <c r="G13" s="206"/>
      <c r="I13" s="191"/>
      <c r="J13" s="192"/>
      <c r="K13" s="193"/>
    </row>
    <row r="14" spans="1:11" ht="16.5" x14ac:dyDescent="0.25">
      <c r="A14" s="634" t="s">
        <v>16</v>
      </c>
      <c r="B14" s="634"/>
      <c r="C14" s="51">
        <f>SUM(C12:C13)</f>
        <v>226500</v>
      </c>
      <c r="D14" s="51">
        <f>SUM(D12:D13)</f>
        <v>226369.78</v>
      </c>
      <c r="E14" s="51">
        <f>+C14-D14</f>
        <v>130.22000000000116</v>
      </c>
      <c r="G14" s="206"/>
    </row>
    <row r="15" spans="1:11" ht="16.5" x14ac:dyDescent="0.25">
      <c r="A15" s="3"/>
      <c r="B15" s="479" t="s">
        <v>40</v>
      </c>
      <c r="C15" s="153"/>
      <c r="D15" s="79">
        <f>D14/C14*100</f>
        <v>99.942507726269312</v>
      </c>
      <c r="E15" s="153" t="s">
        <v>39</v>
      </c>
      <c r="G15" s="206"/>
    </row>
    <row r="16" spans="1:11" ht="16.5" x14ac:dyDescent="0.25">
      <c r="A16" s="552" t="s">
        <v>18</v>
      </c>
      <c r="B16" s="552"/>
      <c r="C16" s="552"/>
      <c r="D16" s="552"/>
      <c r="E16" s="552"/>
      <c r="G16" s="206"/>
    </row>
    <row r="17" spans="1:7" ht="141.75" x14ac:dyDescent="0.25">
      <c r="A17" s="36">
        <v>118110</v>
      </c>
      <c r="B17" s="3" t="s">
        <v>505</v>
      </c>
      <c r="C17" s="426">
        <v>690000</v>
      </c>
      <c r="D17" s="426">
        <v>630000</v>
      </c>
      <c r="E17" s="31">
        <f>C17-D17</f>
        <v>60000</v>
      </c>
      <c r="G17" s="206"/>
    </row>
    <row r="18" spans="1:7" ht="16.5" x14ac:dyDescent="0.25">
      <c r="A18" s="82"/>
      <c r="B18" s="195" t="s">
        <v>42</v>
      </c>
      <c r="C18" s="427">
        <f>+C17</f>
        <v>690000</v>
      </c>
      <c r="D18" s="427">
        <f>+D17</f>
        <v>630000</v>
      </c>
      <c r="E18" s="89">
        <f>SUM(E17:E17)</f>
        <v>60000</v>
      </c>
      <c r="G18" s="206"/>
    </row>
    <row r="19" spans="1:7" ht="16.5" x14ac:dyDescent="0.25">
      <c r="A19" s="41"/>
      <c r="B19" s="250" t="s">
        <v>19</v>
      </c>
      <c r="C19" s="428">
        <f>+C18</f>
        <v>690000</v>
      </c>
      <c r="D19" s="428">
        <f>+D18</f>
        <v>630000</v>
      </c>
      <c r="E19" s="35">
        <f>E18</f>
        <v>60000</v>
      </c>
      <c r="G19" s="206"/>
    </row>
    <row r="20" spans="1:7" ht="20.25" customHeight="1" x14ac:dyDescent="0.25">
      <c r="A20" s="41"/>
      <c r="B20" s="250" t="s">
        <v>43</v>
      </c>
      <c r="C20" s="35">
        <f>+C19+C14</f>
        <v>916500</v>
      </c>
      <c r="D20" s="35">
        <f>+D19+D14</f>
        <v>856369.78</v>
      </c>
      <c r="E20" s="35">
        <f>+C20-D20</f>
        <v>60130.219999999972</v>
      </c>
    </row>
    <row r="21" spans="1:7" ht="28.5" customHeight="1" x14ac:dyDescent="0.25">
      <c r="A21" s="41"/>
      <c r="B21" s="479" t="s">
        <v>40</v>
      </c>
      <c r="C21" s="68"/>
      <c r="D21" s="70">
        <f>D20/C20*100</f>
        <v>93.439146753955271</v>
      </c>
      <c r="E21" s="68" t="s">
        <v>39</v>
      </c>
    </row>
    <row r="23" spans="1:7" ht="15" x14ac:dyDescent="0.25">
      <c r="A23" t="s">
        <v>473</v>
      </c>
      <c r="B23"/>
      <c r="C23"/>
      <c r="D23"/>
      <c r="E23"/>
    </row>
    <row r="24" spans="1:7" ht="15" x14ac:dyDescent="0.25">
      <c r="A24"/>
      <c r="B24"/>
      <c r="C24"/>
      <c r="D24"/>
      <c r="E24"/>
    </row>
    <row r="25" spans="1:7" ht="15" x14ac:dyDescent="0.25">
      <c r="A25"/>
      <c r="B25"/>
      <c r="C25"/>
      <c r="D25"/>
      <c r="E25"/>
    </row>
    <row r="26" spans="1:7" ht="15" x14ac:dyDescent="0.25">
      <c r="A26" t="s">
        <v>202</v>
      </c>
      <c r="B26"/>
      <c r="C26" s="324"/>
      <c r="D26" s="158" t="s">
        <v>203</v>
      </c>
      <c r="E26" t="s">
        <v>204</v>
      </c>
    </row>
  </sheetData>
  <mergeCells count="7">
    <mergeCell ref="A16:E16"/>
    <mergeCell ref="D1:E1"/>
    <mergeCell ref="A4:E4"/>
    <mergeCell ref="A5:E5"/>
    <mergeCell ref="A6:E6"/>
    <mergeCell ref="A7:C7"/>
    <mergeCell ref="A14:B14"/>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8"/>
  <sheetViews>
    <sheetView workbookViewId="0">
      <selection activeCell="J10" sqref="J10"/>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509" t="s">
        <v>231</v>
      </c>
      <c r="E1" s="509"/>
    </row>
    <row r="2" spans="1:5" ht="15.75" x14ac:dyDescent="0.25">
      <c r="D2" t="s">
        <v>198</v>
      </c>
      <c r="E2" s="1"/>
    </row>
    <row r="3" spans="1:5" s="232" customFormat="1" ht="17.25" x14ac:dyDescent="0.25">
      <c r="A3" s="44"/>
      <c r="B3" s="230"/>
      <c r="C3" s="231"/>
      <c r="D3" t="s">
        <v>245</v>
      </c>
      <c r="E3" s="1"/>
    </row>
    <row r="4" spans="1:5" ht="18" customHeight="1" x14ac:dyDescent="0.25">
      <c r="A4" s="517" t="s">
        <v>157</v>
      </c>
      <c r="B4" s="517"/>
      <c r="C4" s="517"/>
      <c r="D4" s="517"/>
      <c r="E4" s="517"/>
    </row>
    <row r="5" spans="1:5" ht="53.25" customHeight="1" x14ac:dyDescent="0.25">
      <c r="A5" s="573" t="s">
        <v>472</v>
      </c>
      <c r="B5" s="573"/>
      <c r="C5" s="573"/>
      <c r="D5" s="573"/>
      <c r="E5" s="573"/>
    </row>
    <row r="6" spans="1:5" ht="117" customHeight="1" x14ac:dyDescent="0.25">
      <c r="A6" s="635" t="s">
        <v>168</v>
      </c>
      <c r="B6" s="635"/>
      <c r="C6" s="635"/>
      <c r="D6" s="635"/>
      <c r="E6" s="635"/>
    </row>
    <row r="7" spans="1:5" ht="15.75" x14ac:dyDescent="0.25">
      <c r="A7" s="633" t="s">
        <v>256</v>
      </c>
      <c r="B7" s="633"/>
      <c r="C7" s="633"/>
      <c r="D7" s="219">
        <f>D12</f>
        <v>275600</v>
      </c>
      <c r="E7" s="96" t="s">
        <v>37</v>
      </c>
    </row>
    <row r="8" spans="1:5" ht="15.75" x14ac:dyDescent="0.25">
      <c r="A8" s="45" t="s">
        <v>24</v>
      </c>
      <c r="B8" s="10" t="s">
        <v>12</v>
      </c>
      <c r="C8" s="10" t="s">
        <v>1</v>
      </c>
      <c r="D8" s="10" t="s">
        <v>11</v>
      </c>
      <c r="E8" s="10" t="s">
        <v>5</v>
      </c>
    </row>
    <row r="9" spans="1:5" ht="15.75" x14ac:dyDescent="0.25">
      <c r="A9" s="45">
        <v>110180</v>
      </c>
      <c r="B9" s="3" t="s">
        <v>28</v>
      </c>
      <c r="C9" s="37"/>
      <c r="D9" s="38"/>
      <c r="E9" s="39"/>
    </row>
    <row r="10" spans="1:5" ht="31.5" x14ac:dyDescent="0.25">
      <c r="A10" s="46"/>
      <c r="B10" s="3" t="s">
        <v>29</v>
      </c>
      <c r="C10" s="37">
        <v>15600</v>
      </c>
      <c r="D10" s="38">
        <v>15600</v>
      </c>
      <c r="E10" s="39"/>
    </row>
    <row r="11" spans="1:5" ht="31.5" x14ac:dyDescent="0.25">
      <c r="A11" s="46"/>
      <c r="B11" s="3" t="s">
        <v>30</v>
      </c>
      <c r="C11" s="37">
        <v>260000</v>
      </c>
      <c r="D11" s="38">
        <v>260000</v>
      </c>
      <c r="E11" s="39"/>
    </row>
    <row r="12" spans="1:5" ht="15.75" x14ac:dyDescent="0.25">
      <c r="A12" s="46"/>
      <c r="B12" s="226" t="s">
        <v>31</v>
      </c>
      <c r="C12" s="227">
        <f>SUM(C9:C11)</f>
        <v>275600</v>
      </c>
      <c r="D12" s="51">
        <f>SUM(D9:D11)</f>
        <v>275600</v>
      </c>
      <c r="E12" s="228">
        <f>C12-D12</f>
        <v>0</v>
      </c>
    </row>
    <row r="13" spans="1:5" x14ac:dyDescent="0.25">
      <c r="A13" s="63"/>
      <c r="B13" s="225" t="s">
        <v>40</v>
      </c>
      <c r="C13" s="224"/>
      <c r="D13" s="229">
        <f>D12/C12*100</f>
        <v>100</v>
      </c>
      <c r="E13" s="85" t="s">
        <v>39</v>
      </c>
    </row>
    <row r="15" spans="1:5" x14ac:dyDescent="0.25">
      <c r="A15" t="s">
        <v>473</v>
      </c>
    </row>
    <row r="18" spans="1:5" x14ac:dyDescent="0.25">
      <c r="A18" t="s">
        <v>202</v>
      </c>
      <c r="C18" s="324"/>
      <c r="D18" s="158" t="s">
        <v>203</v>
      </c>
      <c r="E18" t="s">
        <v>204</v>
      </c>
    </row>
  </sheetData>
  <mergeCells count="5">
    <mergeCell ref="A5:E5"/>
    <mergeCell ref="A4:E4"/>
    <mergeCell ref="A6:E6"/>
    <mergeCell ref="A7:C7"/>
    <mergeCell ref="D1:E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28"/>
  <sheetViews>
    <sheetView topLeftCell="A16" workbookViewId="0">
      <selection activeCell="A25" sqref="A25"/>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509" t="s">
        <v>231</v>
      </c>
      <c r="E1" s="509"/>
    </row>
    <row r="2" spans="1:5" ht="15.75" x14ac:dyDescent="0.25">
      <c r="D2" t="s">
        <v>198</v>
      </c>
      <c r="E2" s="1"/>
    </row>
    <row r="3" spans="1:5" s="232" customFormat="1" ht="17.25" x14ac:dyDescent="0.25">
      <c r="A3" s="44"/>
      <c r="B3" s="230"/>
      <c r="C3" s="231"/>
      <c r="D3" t="s">
        <v>245</v>
      </c>
      <c r="E3" s="1"/>
    </row>
    <row r="4" spans="1:5" ht="18" customHeight="1" x14ac:dyDescent="0.25">
      <c r="A4" s="517" t="s">
        <v>474</v>
      </c>
      <c r="B4" s="517"/>
      <c r="C4" s="517"/>
      <c r="D4" s="517"/>
      <c r="E4" s="517"/>
    </row>
    <row r="5" spans="1:5" ht="53.25" customHeight="1" x14ac:dyDescent="0.25">
      <c r="A5" s="573" t="s">
        <v>475</v>
      </c>
      <c r="B5" s="573"/>
      <c r="C5" s="573"/>
      <c r="D5" s="573"/>
      <c r="E5" s="573"/>
    </row>
    <row r="6" spans="1:5" ht="242.25" customHeight="1" x14ac:dyDescent="0.25">
      <c r="A6" s="635" t="s">
        <v>476</v>
      </c>
      <c r="B6" s="635"/>
      <c r="C6" s="635"/>
      <c r="D6" s="635"/>
      <c r="E6" s="635"/>
    </row>
    <row r="7" spans="1:5" ht="15.75" x14ac:dyDescent="0.25">
      <c r="A7" s="633" t="s">
        <v>256</v>
      </c>
      <c r="B7" s="633"/>
      <c r="C7" s="633"/>
      <c r="D7" s="470">
        <f>D22</f>
        <v>4584811.0200000005</v>
      </c>
      <c r="E7" s="96" t="s">
        <v>37</v>
      </c>
    </row>
    <row r="8" spans="1:5" ht="15.75" x14ac:dyDescent="0.25">
      <c r="A8" s="45" t="s">
        <v>24</v>
      </c>
      <c r="B8" s="10" t="s">
        <v>12</v>
      </c>
      <c r="C8" s="10" t="s">
        <v>1</v>
      </c>
      <c r="D8" s="10" t="s">
        <v>11</v>
      </c>
      <c r="E8" s="10" t="s">
        <v>5</v>
      </c>
    </row>
    <row r="9" spans="1:5" ht="94.5" x14ac:dyDescent="0.25">
      <c r="A9" s="45">
        <v>110150</v>
      </c>
      <c r="B9" s="3" t="s">
        <v>477</v>
      </c>
      <c r="C9" s="469">
        <v>130000</v>
      </c>
      <c r="D9" s="458">
        <v>129160.92</v>
      </c>
      <c r="E9" s="458">
        <f>+C9-D9</f>
        <v>839.08000000000175</v>
      </c>
    </row>
    <row r="10" spans="1:5" ht="93.75" customHeight="1" x14ac:dyDescent="0.25">
      <c r="A10" s="45"/>
      <c r="B10" s="3" t="s">
        <v>478</v>
      </c>
      <c r="C10" s="469">
        <v>600000</v>
      </c>
      <c r="D10" s="458">
        <v>597710.92000000004</v>
      </c>
      <c r="E10" s="458">
        <f t="shared" ref="E10:E13" si="0">+C10-D10</f>
        <v>2289.0799999999581</v>
      </c>
    </row>
    <row r="11" spans="1:5" ht="99.75" customHeight="1" x14ac:dyDescent="0.25">
      <c r="A11" s="45"/>
      <c r="B11" s="3" t="s">
        <v>479</v>
      </c>
      <c r="C11" s="469">
        <v>710000</v>
      </c>
      <c r="D11" s="458">
        <v>709963.82</v>
      </c>
      <c r="E11" s="458">
        <f t="shared" si="0"/>
        <v>36.180000000051223</v>
      </c>
    </row>
    <row r="12" spans="1:5" ht="79.5" customHeight="1" x14ac:dyDescent="0.25">
      <c r="A12" s="45"/>
      <c r="B12" s="3" t="s">
        <v>480</v>
      </c>
      <c r="C12" s="469">
        <v>593200</v>
      </c>
      <c r="D12" s="458">
        <v>586786.39</v>
      </c>
      <c r="E12" s="458">
        <f t="shared" si="0"/>
        <v>6413.609999999986</v>
      </c>
    </row>
    <row r="13" spans="1:5" ht="15.75" x14ac:dyDescent="0.25">
      <c r="A13" s="45"/>
      <c r="B13" s="21" t="s">
        <v>42</v>
      </c>
      <c r="C13" s="472">
        <f>SUM(C9:C12)</f>
        <v>2033200</v>
      </c>
      <c r="D13" s="472">
        <f>SUM(D9:D12)</f>
        <v>2023622.0500000003</v>
      </c>
      <c r="E13" s="459">
        <f t="shared" si="0"/>
        <v>9577.9499999997206</v>
      </c>
    </row>
    <row r="14" spans="1:5" ht="189" x14ac:dyDescent="0.25">
      <c r="A14" s="45">
        <v>111021</v>
      </c>
      <c r="B14" s="129" t="s">
        <v>481</v>
      </c>
      <c r="C14" s="471">
        <v>260000</v>
      </c>
      <c r="D14" s="471">
        <v>260000</v>
      </c>
      <c r="E14" s="458">
        <f>+C14-D14</f>
        <v>0</v>
      </c>
    </row>
    <row r="15" spans="1:5" ht="173.25" x14ac:dyDescent="0.25">
      <c r="A15" s="45"/>
      <c r="B15" s="129" t="s">
        <v>431</v>
      </c>
      <c r="C15" s="471">
        <v>25109</v>
      </c>
      <c r="D15" s="471">
        <v>25108.68</v>
      </c>
      <c r="E15" s="458">
        <f t="shared" ref="E15:E17" si="1">+C15-D15</f>
        <v>0.31999999999970896</v>
      </c>
    </row>
    <row r="16" spans="1:5" ht="63" x14ac:dyDescent="0.25">
      <c r="A16" s="45"/>
      <c r="B16" s="129" t="s">
        <v>482</v>
      </c>
      <c r="C16" s="471">
        <v>987963</v>
      </c>
      <c r="D16" s="471">
        <v>987963</v>
      </c>
      <c r="E16" s="458">
        <f t="shared" si="1"/>
        <v>0</v>
      </c>
    </row>
    <row r="17" spans="1:5" ht="141" customHeight="1" x14ac:dyDescent="0.25">
      <c r="A17" s="45"/>
      <c r="B17" s="3" t="s">
        <v>483</v>
      </c>
      <c r="C17" s="469">
        <v>529454.87</v>
      </c>
      <c r="D17" s="458">
        <v>529454.87</v>
      </c>
      <c r="E17" s="458">
        <f t="shared" si="1"/>
        <v>0</v>
      </c>
    </row>
    <row r="18" spans="1:5" ht="15" customHeight="1" x14ac:dyDescent="0.25">
      <c r="A18" s="45"/>
      <c r="B18" s="21" t="s">
        <v>42</v>
      </c>
      <c r="C18" s="475">
        <f>SUM(C14:C17)</f>
        <v>1802526.87</v>
      </c>
      <c r="D18" s="472">
        <f t="shared" ref="D18:E18" si="2">SUM(D14:D17)</f>
        <v>1802526.5499999998</v>
      </c>
      <c r="E18" s="475">
        <f t="shared" si="2"/>
        <v>0.31999999999970896</v>
      </c>
    </row>
    <row r="19" spans="1:5" ht="130.5" customHeight="1" x14ac:dyDescent="0.25">
      <c r="A19" s="45">
        <v>113241</v>
      </c>
      <c r="B19" s="3" t="s">
        <v>484</v>
      </c>
      <c r="C19" s="469">
        <v>800000</v>
      </c>
      <c r="D19" s="458">
        <v>758662.42</v>
      </c>
      <c r="E19" s="458">
        <f>+C19-D19</f>
        <v>41337.579999999958</v>
      </c>
    </row>
    <row r="20" spans="1:5" ht="15.75" x14ac:dyDescent="0.25">
      <c r="A20" s="46"/>
      <c r="B20" s="21" t="s">
        <v>42</v>
      </c>
      <c r="C20" s="477">
        <f>SUM(C19)</f>
        <v>800000</v>
      </c>
      <c r="D20" s="477">
        <f t="shared" ref="D20:E20" si="3">SUM(D19)</f>
        <v>758662.42</v>
      </c>
      <c r="E20" s="477">
        <f t="shared" si="3"/>
        <v>41337.579999999958</v>
      </c>
    </row>
    <row r="21" spans="1:5" ht="15.75" x14ac:dyDescent="0.25">
      <c r="A21" s="46"/>
      <c r="B21" s="473"/>
      <c r="C21" s="474"/>
      <c r="D21" s="468"/>
      <c r="E21" s="458"/>
    </row>
    <row r="22" spans="1:5" ht="15.75" x14ac:dyDescent="0.25">
      <c r="A22" s="46"/>
      <c r="B22" s="226" t="s">
        <v>31</v>
      </c>
      <c r="C22" s="476">
        <f>+C13+C18+C20</f>
        <v>4635726.87</v>
      </c>
      <c r="D22" s="476">
        <f>+D13+D18+D20</f>
        <v>4584811.0200000005</v>
      </c>
      <c r="E22" s="228">
        <f>C22-D22</f>
        <v>50915.849999999627</v>
      </c>
    </row>
    <row r="23" spans="1:5" x14ac:dyDescent="0.25">
      <c r="A23" s="63"/>
      <c r="B23" s="225" t="s">
        <v>40</v>
      </c>
      <c r="C23" s="224"/>
      <c r="D23" s="229">
        <f>D22/C22*100</f>
        <v>98.90166415261649</v>
      </c>
      <c r="E23" s="85" t="s">
        <v>39</v>
      </c>
    </row>
    <row r="25" spans="1:5" x14ac:dyDescent="0.25">
      <c r="A25" t="s">
        <v>473</v>
      </c>
    </row>
    <row r="28" spans="1:5" x14ac:dyDescent="0.25">
      <c r="A28" t="s">
        <v>202</v>
      </c>
      <c r="C28" s="324"/>
      <c r="D28" s="158" t="s">
        <v>203</v>
      </c>
      <c r="E28" t="s">
        <v>204</v>
      </c>
    </row>
  </sheetData>
  <mergeCells count="5">
    <mergeCell ref="D1:E1"/>
    <mergeCell ref="A4:E4"/>
    <mergeCell ref="A5:E5"/>
    <mergeCell ref="A6:E6"/>
    <mergeCell ref="A7:C7"/>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34"/>
  <sheetViews>
    <sheetView topLeftCell="A7" workbookViewId="0">
      <selection activeCell="A30" sqref="A30:E30"/>
    </sheetView>
  </sheetViews>
  <sheetFormatPr defaultRowHeight="15.75" x14ac:dyDescent="0.25"/>
  <cols>
    <col min="1" max="1" width="7.140625" customWidth="1"/>
    <col min="2" max="2" width="40.140625" style="15" customWidth="1"/>
    <col min="3" max="3" width="16.7109375" style="15" customWidth="1"/>
    <col min="4" max="4" width="16.140625" style="25" customWidth="1"/>
    <col min="5" max="5" width="16" style="15" customWidth="1"/>
    <col min="6" max="6" width="10" bestFit="1" customWidth="1"/>
  </cols>
  <sheetData>
    <row r="1" spans="1:5" x14ac:dyDescent="0.25">
      <c r="D1" s="509" t="s">
        <v>230</v>
      </c>
      <c r="E1" s="509"/>
    </row>
    <row r="2" spans="1:5" x14ac:dyDescent="0.25">
      <c r="D2" t="s">
        <v>198</v>
      </c>
      <c r="E2" s="1"/>
    </row>
    <row r="3" spans="1:5" x14ac:dyDescent="0.25">
      <c r="B3" s="1"/>
      <c r="C3" s="1"/>
      <c r="D3" t="s">
        <v>245</v>
      </c>
      <c r="E3" s="1"/>
    </row>
    <row r="4" spans="1:5" x14ac:dyDescent="0.25">
      <c r="A4" s="511" t="s">
        <v>142</v>
      </c>
      <c r="B4" s="511"/>
      <c r="C4" s="511"/>
      <c r="D4" s="511"/>
      <c r="E4" s="511"/>
    </row>
    <row r="5" spans="1:5" ht="43.5" customHeight="1" x14ac:dyDescent="0.25">
      <c r="A5" s="573" t="s">
        <v>485</v>
      </c>
      <c r="B5" s="573"/>
      <c r="C5" s="573"/>
      <c r="D5" s="573"/>
      <c r="E5" s="573"/>
    </row>
    <row r="6" spans="1:5" ht="230.25" customHeight="1" x14ac:dyDescent="0.25">
      <c r="A6" s="501" t="s">
        <v>486</v>
      </c>
      <c r="B6" s="501"/>
      <c r="C6" s="501"/>
      <c r="D6" s="501"/>
      <c r="E6" s="501"/>
    </row>
    <row r="7" spans="1:5" x14ac:dyDescent="0.25">
      <c r="A7" s="49" t="s">
        <v>256</v>
      </c>
      <c r="B7" s="49"/>
      <c r="C7" s="49"/>
      <c r="D7" s="366">
        <f>+C8+C9</f>
        <v>422476.27</v>
      </c>
      <c r="E7" s="97" t="s">
        <v>37</v>
      </c>
    </row>
    <row r="8" spans="1:5" x14ac:dyDescent="0.25">
      <c r="B8" s="440" t="s">
        <v>33</v>
      </c>
      <c r="C8" s="57">
        <f>D27</f>
        <v>422476.27</v>
      </c>
      <c r="D8" s="97" t="s">
        <v>37</v>
      </c>
      <c r="E8" s="440"/>
    </row>
    <row r="9" spans="1:5" x14ac:dyDescent="0.25">
      <c r="B9" s="440"/>
      <c r="C9" s="57"/>
      <c r="D9" s="97"/>
      <c r="E9" s="440"/>
    </row>
    <row r="10" spans="1:5" s="11" customFormat="1" ht="30" x14ac:dyDescent="0.25">
      <c r="A10" s="99" t="s">
        <v>24</v>
      </c>
      <c r="B10" s="10" t="s">
        <v>35</v>
      </c>
      <c r="C10" s="10" t="s">
        <v>1</v>
      </c>
      <c r="D10" s="113" t="s">
        <v>11</v>
      </c>
      <c r="E10" s="10" t="s">
        <v>5</v>
      </c>
    </row>
    <row r="11" spans="1:5" x14ac:dyDescent="0.25">
      <c r="B11" s="521" t="s">
        <v>17</v>
      </c>
      <c r="C11" s="522"/>
      <c r="D11" s="522"/>
      <c r="E11" s="523"/>
    </row>
    <row r="12" spans="1:5" ht="31.5" x14ac:dyDescent="0.25">
      <c r="A12" s="85">
        <v>111080</v>
      </c>
      <c r="B12" s="5" t="s">
        <v>160</v>
      </c>
      <c r="C12" s="362">
        <v>109550</v>
      </c>
      <c r="D12" s="363">
        <v>108430</v>
      </c>
      <c r="E12" s="6"/>
    </row>
    <row r="13" spans="1:5" ht="15" customHeight="1" x14ac:dyDescent="0.25">
      <c r="A13" s="575" t="s">
        <v>511</v>
      </c>
      <c r="B13" s="576"/>
      <c r="C13" s="576"/>
      <c r="D13" s="576"/>
      <c r="E13" s="577"/>
    </row>
    <row r="14" spans="1:5" ht="15.75" customHeight="1" x14ac:dyDescent="0.25">
      <c r="A14" s="578"/>
      <c r="B14" s="579"/>
      <c r="C14" s="579"/>
      <c r="D14" s="579"/>
      <c r="E14" s="580"/>
    </row>
    <row r="15" spans="1:5" ht="15.75" customHeight="1" x14ac:dyDescent="0.25">
      <c r="A15" s="578"/>
      <c r="B15" s="579"/>
      <c r="C15" s="579"/>
      <c r="D15" s="579"/>
      <c r="E15" s="580"/>
    </row>
    <row r="16" spans="1:5" ht="31.5" customHeight="1" x14ac:dyDescent="0.25">
      <c r="A16" s="581"/>
      <c r="B16" s="582"/>
      <c r="C16" s="582"/>
      <c r="D16" s="582"/>
      <c r="E16" s="583"/>
    </row>
    <row r="17" spans="1:6" x14ac:dyDescent="0.25">
      <c r="A17" s="41"/>
      <c r="B17" s="126" t="s">
        <v>113</v>
      </c>
      <c r="C17" s="100">
        <f>+C12</f>
        <v>109550</v>
      </c>
      <c r="D17" s="100">
        <f>SUM(D12:D16)</f>
        <v>108430</v>
      </c>
      <c r="E17" s="100">
        <f>C17-D17</f>
        <v>1120</v>
      </c>
    </row>
    <row r="18" spans="1:6" x14ac:dyDescent="0.25">
      <c r="A18" s="41"/>
      <c r="B18" s="126"/>
      <c r="C18" s="362"/>
      <c r="D18" s="363"/>
      <c r="E18" s="6"/>
    </row>
    <row r="19" spans="1:6" x14ac:dyDescent="0.25">
      <c r="A19" s="41"/>
      <c r="B19" s="126" t="s">
        <v>276</v>
      </c>
      <c r="C19" s="362">
        <v>496334.53</v>
      </c>
      <c r="D19" s="363">
        <v>295056.27</v>
      </c>
      <c r="E19" s="6"/>
    </row>
    <row r="20" spans="1:6" ht="15.75" customHeight="1" x14ac:dyDescent="0.25">
      <c r="A20" s="536" t="s">
        <v>512</v>
      </c>
      <c r="B20" s="537"/>
      <c r="C20" s="537"/>
      <c r="D20" s="537"/>
      <c r="E20" s="538"/>
    </row>
    <row r="21" spans="1:6" ht="15.75" customHeight="1" x14ac:dyDescent="0.25">
      <c r="A21" s="539"/>
      <c r="B21" s="540"/>
      <c r="C21" s="540"/>
      <c r="D21" s="540"/>
      <c r="E21" s="541"/>
    </row>
    <row r="22" spans="1:6" ht="31.5" customHeight="1" x14ac:dyDescent="0.25">
      <c r="A22" s="539"/>
      <c r="B22" s="540"/>
      <c r="C22" s="540"/>
      <c r="D22" s="540"/>
      <c r="E22" s="541"/>
    </row>
    <row r="23" spans="1:6" ht="31.5" customHeight="1" x14ac:dyDescent="0.25">
      <c r="A23" s="539"/>
      <c r="B23" s="540"/>
      <c r="C23" s="540"/>
      <c r="D23" s="540"/>
      <c r="E23" s="541"/>
    </row>
    <row r="24" spans="1:6" ht="35.25" customHeight="1" x14ac:dyDescent="0.25">
      <c r="A24" s="542"/>
      <c r="B24" s="543"/>
      <c r="C24" s="543"/>
      <c r="D24" s="543"/>
      <c r="E24" s="544"/>
    </row>
    <row r="25" spans="1:6" x14ac:dyDescent="0.25">
      <c r="A25" s="41"/>
      <c r="B25" s="126" t="s">
        <v>161</v>
      </c>
      <c r="C25" s="100">
        <f>+C19</f>
        <v>496334.53</v>
      </c>
      <c r="D25" s="100">
        <f>SUM(D19:D24)</f>
        <v>295056.27</v>
      </c>
      <c r="E25" s="100">
        <f>C25-D25</f>
        <v>201278.26</v>
      </c>
    </row>
    <row r="26" spans="1:6" x14ac:dyDescent="0.25">
      <c r="A26" s="41"/>
      <c r="B26" s="3" t="s">
        <v>100</v>
      </c>
      <c r="C26" s="363">
        <v>19000</v>
      </c>
      <c r="D26" s="363">
        <v>18990</v>
      </c>
      <c r="E26" s="6">
        <f t="shared" ref="E26" si="0">C26-D26</f>
        <v>10</v>
      </c>
      <c r="F26" s="106"/>
    </row>
    <row r="27" spans="1:6" x14ac:dyDescent="0.25">
      <c r="A27" s="41"/>
      <c r="B27" s="126" t="s">
        <v>163</v>
      </c>
      <c r="C27" s="35">
        <f>C17+C25+C26</f>
        <v>624884.53</v>
      </c>
      <c r="D27" s="35">
        <f>D17+D25+D26</f>
        <v>422476.27</v>
      </c>
      <c r="E27" s="35">
        <f>E17+E25+E26</f>
        <v>202408.26</v>
      </c>
    </row>
    <row r="28" spans="1:6" ht="15.75" customHeight="1" x14ac:dyDescent="0.25">
      <c r="A28" s="41"/>
      <c r="B28" s="438" t="s">
        <v>40</v>
      </c>
      <c r="C28" s="67"/>
      <c r="D28" s="69">
        <f>D27/C27*100</f>
        <v>67.608694041441538</v>
      </c>
      <c r="E28" s="68" t="s">
        <v>39</v>
      </c>
    </row>
    <row r="29" spans="1:6" ht="15" customHeight="1" x14ac:dyDescent="0.25">
      <c r="B29" s="439"/>
      <c r="C29" s="439"/>
      <c r="D29" s="439"/>
      <c r="E29" s="439"/>
    </row>
    <row r="30" spans="1:6" ht="19.5" customHeight="1" x14ac:dyDescent="0.25">
      <c r="A30" s="501" t="s">
        <v>473</v>
      </c>
      <c r="B30" s="501"/>
      <c r="C30" s="501"/>
      <c r="D30" s="501"/>
      <c r="E30" s="501"/>
    </row>
    <row r="32" spans="1:6" x14ac:dyDescent="0.25">
      <c r="C32" s="317"/>
      <c r="D32" s="318" t="s">
        <v>203</v>
      </c>
      <c r="E32" s="15" t="s">
        <v>204</v>
      </c>
    </row>
    <row r="33" spans="1:6" ht="15" x14ac:dyDescent="0.25">
      <c r="A33" t="s">
        <v>202</v>
      </c>
      <c r="B33" s="442"/>
      <c r="C33" s="442"/>
      <c r="D33" s="442"/>
      <c r="E33" s="442"/>
    </row>
    <row r="34" spans="1:6" ht="54.75" customHeight="1" x14ac:dyDescent="0.25">
      <c r="F34" s="442"/>
    </row>
  </sheetData>
  <mergeCells count="8">
    <mergeCell ref="A20:E24"/>
    <mergeCell ref="A30:E30"/>
    <mergeCell ref="D1:E1"/>
    <mergeCell ref="A4:E4"/>
    <mergeCell ref="A5:E5"/>
    <mergeCell ref="A6:E6"/>
    <mergeCell ref="B11:E11"/>
    <mergeCell ref="A13:E16"/>
  </mergeCells>
  <pageMargins left="0.70866141732283472" right="0.70866141732283472" top="0.74803149606299213" bottom="0.74803149606299213" header="0.31496062992125984" footer="0.31496062992125984"/>
  <pageSetup paperSize="9" scale="7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54"/>
  <sheetViews>
    <sheetView workbookViewId="0">
      <selection activeCell="J39" sqref="J39"/>
    </sheetView>
  </sheetViews>
  <sheetFormatPr defaultRowHeight="15.75" x14ac:dyDescent="0.25"/>
  <cols>
    <col min="1" max="1" width="7.140625" style="277" customWidth="1"/>
    <col min="2" max="2" width="32.85546875" style="278" customWidth="1"/>
    <col min="3" max="3" width="6.85546875" style="279" customWidth="1"/>
    <col min="4" max="4" width="6.7109375" style="279" bestFit="1" customWidth="1"/>
    <col min="5" max="5" width="14.28515625" style="282" customWidth="1"/>
    <col min="6" max="6" width="14.42578125" style="280" customWidth="1"/>
    <col min="7" max="7" width="14.28515625" style="281" customWidth="1"/>
    <col min="8" max="8" width="16.7109375" customWidth="1"/>
  </cols>
  <sheetData>
    <row r="1" spans="1:9" x14ac:dyDescent="0.25">
      <c r="F1" s="334" t="s">
        <v>209</v>
      </c>
      <c r="G1" s="335"/>
    </row>
    <row r="2" spans="1:9" x14ac:dyDescent="0.25">
      <c r="F2" s="335" t="s">
        <v>198</v>
      </c>
      <c r="G2" s="334"/>
    </row>
    <row r="3" spans="1:9" x14ac:dyDescent="0.25">
      <c r="F3" s="335" t="s">
        <v>245</v>
      </c>
      <c r="G3" s="334"/>
    </row>
    <row r="4" spans="1:9" x14ac:dyDescent="0.25">
      <c r="A4" s="638" t="s">
        <v>143</v>
      </c>
      <c r="B4" s="638"/>
      <c r="C4" s="638"/>
      <c r="D4" s="638"/>
      <c r="E4" s="638"/>
      <c r="F4" s="638"/>
      <c r="G4" s="638"/>
    </row>
    <row r="5" spans="1:9" ht="18.75" customHeight="1" x14ac:dyDescent="0.25">
      <c r="A5" s="638" t="s">
        <v>23</v>
      </c>
      <c r="B5" s="638"/>
      <c r="C5" s="638"/>
      <c r="D5" s="638"/>
      <c r="E5" s="638"/>
      <c r="F5" s="638"/>
      <c r="G5" s="638"/>
    </row>
    <row r="6" spans="1:9" ht="241.5" customHeight="1" x14ac:dyDescent="0.25">
      <c r="A6" s="639" t="s">
        <v>211</v>
      </c>
      <c r="B6" s="639"/>
      <c r="C6" s="639"/>
      <c r="D6" s="639"/>
      <c r="E6" s="639"/>
      <c r="F6" s="639"/>
      <c r="G6" s="639"/>
    </row>
    <row r="7" spans="1:9" x14ac:dyDescent="0.25">
      <c r="A7" s="641" t="s">
        <v>256</v>
      </c>
      <c r="B7" s="641"/>
      <c r="C7" s="641"/>
      <c r="D7" s="641"/>
      <c r="E7" s="319">
        <f>F36</f>
        <v>20216977.750000004</v>
      </c>
      <c r="F7" s="311" t="s">
        <v>37</v>
      </c>
      <c r="G7" s="311"/>
    </row>
    <row r="8" spans="1:9" ht="31.5" x14ac:dyDescent="0.25">
      <c r="A8" s="251" t="s">
        <v>24</v>
      </c>
      <c r="B8" s="141" t="s">
        <v>12</v>
      </c>
      <c r="C8" s="252" t="s">
        <v>79</v>
      </c>
      <c r="D8" s="252" t="s">
        <v>78</v>
      </c>
      <c r="E8" s="252" t="s">
        <v>1</v>
      </c>
      <c r="F8" s="253" t="s">
        <v>11</v>
      </c>
      <c r="G8" s="253" t="s">
        <v>5</v>
      </c>
      <c r="I8" s="206"/>
    </row>
    <row r="9" spans="1:9" ht="31.5" x14ac:dyDescent="0.25">
      <c r="A9" s="254">
        <v>116030</v>
      </c>
      <c r="B9" s="255" t="s">
        <v>72</v>
      </c>
      <c r="C9" s="256">
        <v>45</v>
      </c>
      <c r="D9" s="256" t="s">
        <v>83</v>
      </c>
      <c r="E9" s="257">
        <v>198000</v>
      </c>
      <c r="F9" s="258">
        <v>99000</v>
      </c>
      <c r="G9" s="259">
        <f>E9-F9</f>
        <v>99000</v>
      </c>
      <c r="I9" s="206"/>
    </row>
    <row r="10" spans="1:9" ht="31.5" x14ac:dyDescent="0.25">
      <c r="A10" s="260"/>
      <c r="B10" s="255" t="s">
        <v>82</v>
      </c>
      <c r="C10" s="261">
        <v>169</v>
      </c>
      <c r="D10" s="261" t="s">
        <v>81</v>
      </c>
      <c r="E10" s="259">
        <v>600000</v>
      </c>
      <c r="F10" s="259">
        <v>447029.39</v>
      </c>
      <c r="G10" s="259">
        <f t="shared" ref="G10:G15" si="0">E10-F10</f>
        <v>152970.60999999999</v>
      </c>
      <c r="I10" s="206"/>
    </row>
    <row r="11" spans="1:9" ht="78.75" x14ac:dyDescent="0.25">
      <c r="A11" s="260"/>
      <c r="B11" s="255" t="s">
        <v>583</v>
      </c>
      <c r="C11" s="261">
        <v>1995</v>
      </c>
      <c r="D11" s="261" t="s">
        <v>80</v>
      </c>
      <c r="E11" s="259">
        <v>349400</v>
      </c>
      <c r="F11" s="259">
        <v>349400</v>
      </c>
      <c r="G11" s="259">
        <f t="shared" si="0"/>
        <v>0</v>
      </c>
      <c r="I11" s="206"/>
    </row>
    <row r="12" spans="1:9" ht="35.1" customHeight="1" x14ac:dyDescent="0.25">
      <c r="A12" s="260"/>
      <c r="B12" s="255" t="s">
        <v>73</v>
      </c>
      <c r="C12" s="261"/>
      <c r="D12" s="261"/>
      <c r="E12" s="259">
        <v>1585051</v>
      </c>
      <c r="F12" s="259">
        <v>1087800</v>
      </c>
      <c r="G12" s="259">
        <f t="shared" si="0"/>
        <v>497251</v>
      </c>
      <c r="I12" s="206"/>
    </row>
    <row r="13" spans="1:9" ht="47.25" x14ac:dyDescent="0.25">
      <c r="A13" s="260"/>
      <c r="B13" s="255" t="s">
        <v>84</v>
      </c>
      <c r="C13" s="261"/>
      <c r="D13" s="261"/>
      <c r="E13" s="259">
        <v>3755000</v>
      </c>
      <c r="F13" s="259">
        <v>1925879.48</v>
      </c>
      <c r="G13" s="259">
        <f t="shared" si="0"/>
        <v>1829120.52</v>
      </c>
    </row>
    <row r="14" spans="1:9" ht="31.5" x14ac:dyDescent="0.25">
      <c r="A14" s="260"/>
      <c r="B14" s="255" t="s">
        <v>74</v>
      </c>
      <c r="C14" s="261">
        <v>38785</v>
      </c>
      <c r="D14" s="261" t="s">
        <v>49</v>
      </c>
      <c r="E14" s="259">
        <v>14692400</v>
      </c>
      <c r="F14" s="259">
        <v>13604412.550000001</v>
      </c>
      <c r="G14" s="259">
        <f t="shared" si="0"/>
        <v>1087987.4499999993</v>
      </c>
    </row>
    <row r="15" spans="1:9" ht="31.5" x14ac:dyDescent="0.25">
      <c r="A15" s="260"/>
      <c r="B15" s="255" t="s">
        <v>75</v>
      </c>
      <c r="C15" s="261">
        <v>84</v>
      </c>
      <c r="D15" s="261" t="s">
        <v>51</v>
      </c>
      <c r="E15" s="259">
        <v>450000</v>
      </c>
      <c r="F15" s="259">
        <v>449747.27</v>
      </c>
      <c r="G15" s="259">
        <f t="shared" si="0"/>
        <v>252.72999999998137</v>
      </c>
    </row>
    <row r="16" spans="1:9" ht="78.599999999999994" customHeight="1" x14ac:dyDescent="0.25">
      <c r="A16" s="260"/>
      <c r="B16" s="255" t="s">
        <v>577</v>
      </c>
      <c r="C16" s="261"/>
      <c r="D16" s="261"/>
      <c r="E16" s="259">
        <v>698000</v>
      </c>
      <c r="F16" s="259">
        <v>196000</v>
      </c>
      <c r="G16" s="259">
        <f>E16-F16</f>
        <v>502000</v>
      </c>
    </row>
    <row r="17" spans="1:8" ht="70.5" customHeight="1" x14ac:dyDescent="0.25">
      <c r="A17" s="260"/>
      <c r="B17" s="255" t="s">
        <v>578</v>
      </c>
      <c r="C17" s="261"/>
      <c r="D17" s="261"/>
      <c r="E17" s="259">
        <v>15000</v>
      </c>
      <c r="F17" s="259">
        <v>15000</v>
      </c>
      <c r="G17" s="259">
        <f t="shared" ref="G17:G31" si="1">E17-F17</f>
        <v>0</v>
      </c>
    </row>
    <row r="18" spans="1:8" ht="31.5" x14ac:dyDescent="0.25">
      <c r="A18" s="260"/>
      <c r="B18" s="255" t="s">
        <v>579</v>
      </c>
      <c r="C18" s="261"/>
      <c r="D18" s="261"/>
      <c r="E18" s="259">
        <v>199000</v>
      </c>
      <c r="F18" s="259">
        <v>199000</v>
      </c>
      <c r="G18" s="259">
        <f t="shared" si="1"/>
        <v>0</v>
      </c>
    </row>
    <row r="19" spans="1:8" ht="39" customHeight="1" x14ac:dyDescent="0.25">
      <c r="A19" s="260"/>
      <c r="B19" s="255" t="s">
        <v>572</v>
      </c>
      <c r="C19" s="261"/>
      <c r="D19" s="261"/>
      <c r="E19" s="259">
        <v>45000</v>
      </c>
      <c r="F19" s="259"/>
      <c r="G19" s="259">
        <f t="shared" si="1"/>
        <v>45000</v>
      </c>
    </row>
    <row r="20" spans="1:8" ht="47.25" x14ac:dyDescent="0.25">
      <c r="A20" s="260"/>
      <c r="B20" s="255" t="s">
        <v>581</v>
      </c>
      <c r="C20" s="261"/>
      <c r="D20" s="261"/>
      <c r="E20" s="259">
        <v>99600</v>
      </c>
      <c r="F20" s="259">
        <v>99569</v>
      </c>
      <c r="G20" s="259">
        <f t="shared" si="1"/>
        <v>31</v>
      </c>
    </row>
    <row r="21" spans="1:8" ht="68.25" customHeight="1" x14ac:dyDescent="0.25">
      <c r="A21" s="260"/>
      <c r="B21" s="255" t="s">
        <v>580</v>
      </c>
      <c r="C21" s="261"/>
      <c r="D21" s="261"/>
      <c r="E21" s="259">
        <v>99000</v>
      </c>
      <c r="F21" s="259">
        <v>98942.46</v>
      </c>
      <c r="G21" s="259">
        <f t="shared" si="1"/>
        <v>57.539999999993597</v>
      </c>
    </row>
    <row r="22" spans="1:8" ht="24" customHeight="1" x14ac:dyDescent="0.25">
      <c r="A22" s="260"/>
      <c r="B22" s="255" t="s">
        <v>582</v>
      </c>
      <c r="C22" s="261"/>
      <c r="D22" s="261"/>
      <c r="E22" s="259">
        <v>6800</v>
      </c>
      <c r="F22" s="258">
        <v>6800</v>
      </c>
      <c r="G22" s="259">
        <f t="shared" si="1"/>
        <v>0</v>
      </c>
    </row>
    <row r="23" spans="1:8" ht="34.5" customHeight="1" x14ac:dyDescent="0.25">
      <c r="A23" s="260"/>
      <c r="B23" s="255" t="s">
        <v>584</v>
      </c>
      <c r="C23" s="261"/>
      <c r="D23" s="261"/>
      <c r="E23" s="259">
        <v>99200</v>
      </c>
      <c r="F23" s="258">
        <v>98692</v>
      </c>
      <c r="G23" s="259">
        <f t="shared" si="1"/>
        <v>508</v>
      </c>
    </row>
    <row r="24" spans="1:8" ht="48.75" customHeight="1" x14ac:dyDescent="0.25">
      <c r="A24" s="260"/>
      <c r="B24" s="255" t="s">
        <v>585</v>
      </c>
      <c r="C24" s="261"/>
      <c r="D24" s="261"/>
      <c r="E24" s="259">
        <v>43900</v>
      </c>
      <c r="F24" s="258">
        <v>43800</v>
      </c>
      <c r="G24" s="259">
        <f t="shared" si="1"/>
        <v>100</v>
      </c>
    </row>
    <row r="25" spans="1:8" ht="51" customHeight="1" x14ac:dyDescent="0.25">
      <c r="A25" s="260"/>
      <c r="B25" s="255" t="s">
        <v>586</v>
      </c>
      <c r="C25" s="261"/>
      <c r="D25" s="261"/>
      <c r="E25" s="259">
        <v>199711</v>
      </c>
      <c r="F25" s="258">
        <v>199711</v>
      </c>
      <c r="G25" s="259">
        <f t="shared" si="1"/>
        <v>0</v>
      </c>
    </row>
    <row r="26" spans="1:8" ht="66.75" customHeight="1" x14ac:dyDescent="0.25">
      <c r="A26" s="260"/>
      <c r="B26" s="255" t="s">
        <v>587</v>
      </c>
      <c r="C26" s="261"/>
      <c r="D26" s="261"/>
      <c r="E26" s="259">
        <v>113400</v>
      </c>
      <c r="F26" s="258">
        <v>113400</v>
      </c>
      <c r="G26" s="259">
        <f t="shared" si="1"/>
        <v>0</v>
      </c>
    </row>
    <row r="27" spans="1:8" ht="19.5" customHeight="1" x14ac:dyDescent="0.25">
      <c r="A27" s="260"/>
      <c r="B27" s="255" t="s">
        <v>588</v>
      </c>
      <c r="C27" s="261"/>
      <c r="D27" s="261"/>
      <c r="E27" s="259">
        <v>144800</v>
      </c>
      <c r="F27" s="258">
        <v>104500</v>
      </c>
      <c r="G27" s="259">
        <f t="shared" si="1"/>
        <v>40300</v>
      </c>
    </row>
    <row r="28" spans="1:8" ht="34.5" customHeight="1" x14ac:dyDescent="0.25">
      <c r="A28" s="260"/>
      <c r="B28" s="255" t="s">
        <v>589</v>
      </c>
      <c r="C28" s="261"/>
      <c r="D28" s="261"/>
      <c r="E28" s="259">
        <v>53200</v>
      </c>
      <c r="F28" s="258">
        <v>53200</v>
      </c>
      <c r="G28" s="259">
        <f t="shared" si="1"/>
        <v>0</v>
      </c>
    </row>
    <row r="29" spans="1:8" ht="37.5" customHeight="1" x14ac:dyDescent="0.25">
      <c r="A29" s="260"/>
      <c r="B29" s="255" t="s">
        <v>590</v>
      </c>
      <c r="C29" s="261"/>
      <c r="D29" s="261"/>
      <c r="E29" s="259">
        <v>99055</v>
      </c>
      <c r="F29" s="258">
        <v>90014</v>
      </c>
      <c r="G29" s="259">
        <f t="shared" si="1"/>
        <v>9041</v>
      </c>
    </row>
    <row r="30" spans="1:8" ht="47.25" x14ac:dyDescent="0.25">
      <c r="A30" s="260"/>
      <c r="B30" s="255" t="s">
        <v>591</v>
      </c>
      <c r="C30" s="261"/>
      <c r="D30" s="261"/>
      <c r="E30" s="259">
        <v>124000</v>
      </c>
      <c r="F30" s="259">
        <v>124000</v>
      </c>
      <c r="G30" s="259">
        <f t="shared" si="1"/>
        <v>0</v>
      </c>
    </row>
    <row r="31" spans="1:8" x14ac:dyDescent="0.25">
      <c r="A31" s="260"/>
      <c r="B31" s="255"/>
      <c r="C31" s="261"/>
      <c r="D31" s="261"/>
      <c r="E31" s="259"/>
      <c r="F31" s="259"/>
      <c r="G31" s="259">
        <f t="shared" si="1"/>
        <v>0</v>
      </c>
    </row>
    <row r="32" spans="1:8" x14ac:dyDescent="0.25">
      <c r="A32" s="262"/>
      <c r="B32" s="263" t="s">
        <v>77</v>
      </c>
      <c r="C32" s="134"/>
      <c r="D32" s="134"/>
      <c r="E32" s="264">
        <f>SUM(E9:E31)</f>
        <v>23669517</v>
      </c>
      <c r="F32" s="265">
        <f>SUM(F9:F31)</f>
        <v>19405897.150000002</v>
      </c>
      <c r="G32" s="265">
        <f>SUM(G9:G31)</f>
        <v>4263619.8499999987</v>
      </c>
      <c r="H32" s="106"/>
    </row>
    <row r="33" spans="1:9" x14ac:dyDescent="0.25">
      <c r="A33" s="266">
        <v>117461</v>
      </c>
      <c r="B33" s="267" t="s">
        <v>76</v>
      </c>
      <c r="C33" s="268">
        <v>82</v>
      </c>
      <c r="D33" s="268" t="s">
        <v>80</v>
      </c>
      <c r="E33" s="269">
        <v>1568000</v>
      </c>
      <c r="F33" s="270">
        <v>767988.6</v>
      </c>
      <c r="G33" s="269">
        <f>E33-F33</f>
        <v>800011.4</v>
      </c>
    </row>
    <row r="34" spans="1:9" ht="31.5" x14ac:dyDescent="0.25">
      <c r="A34" s="266"/>
      <c r="B34" s="267" t="s">
        <v>572</v>
      </c>
      <c r="C34" s="268"/>
      <c r="D34" s="268"/>
      <c r="E34" s="259">
        <v>45000</v>
      </c>
      <c r="F34" s="259">
        <v>43092</v>
      </c>
      <c r="G34" s="259">
        <f>E34-F34</f>
        <v>1908</v>
      </c>
    </row>
    <row r="35" spans="1:9" x14ac:dyDescent="0.25">
      <c r="A35" s="254"/>
      <c r="B35" s="271" t="s">
        <v>77</v>
      </c>
      <c r="C35" s="133"/>
      <c r="D35" s="133"/>
      <c r="E35" s="265">
        <f>SUM(E33:E34)</f>
        <v>1613000</v>
      </c>
      <c r="F35" s="265">
        <f>SUM(F33:F34)</f>
        <v>811080.6</v>
      </c>
      <c r="G35" s="265">
        <f>+E35-F35</f>
        <v>801919.4</v>
      </c>
    </row>
    <row r="36" spans="1:9" x14ac:dyDescent="0.25">
      <c r="A36" s="260"/>
      <c r="B36" s="636" t="s">
        <v>16</v>
      </c>
      <c r="C36" s="637"/>
      <c r="D36" s="247"/>
      <c r="E36" s="216">
        <f>E32+E35</f>
        <v>25282517</v>
      </c>
      <c r="F36" s="216">
        <f>F32+F35</f>
        <v>20216977.750000004</v>
      </c>
      <c r="G36" s="216">
        <f>G32+G35</f>
        <v>5065539.2499999991</v>
      </c>
      <c r="H36" s="106"/>
    </row>
    <row r="37" spans="1:9" x14ac:dyDescent="0.25">
      <c r="A37" s="272"/>
      <c r="B37" s="273" t="s">
        <v>40</v>
      </c>
      <c r="C37" s="274"/>
      <c r="D37" s="274"/>
      <c r="E37" s="274"/>
      <c r="F37" s="275">
        <f>F36/E36*100</f>
        <v>79.964260480869058</v>
      </c>
      <c r="G37" s="276" t="s">
        <v>39</v>
      </c>
    </row>
    <row r="38" spans="1:9" ht="10.5" customHeight="1" x14ac:dyDescent="0.25"/>
    <row r="39" spans="1:9" ht="24.75" customHeight="1" x14ac:dyDescent="0.25">
      <c r="A39" s="642" t="s">
        <v>18</v>
      </c>
      <c r="B39" s="643"/>
      <c r="C39" s="643"/>
      <c r="D39" s="643"/>
      <c r="E39" s="643"/>
      <c r="F39" s="643"/>
      <c r="G39" s="643"/>
    </row>
    <row r="40" spans="1:9" ht="49.5" customHeight="1" x14ac:dyDescent="0.25">
      <c r="A40" s="254">
        <v>116030</v>
      </c>
      <c r="B40" s="3" t="s">
        <v>573</v>
      </c>
      <c r="C40" s="3"/>
      <c r="D40" s="3"/>
      <c r="E40" s="426">
        <v>69800</v>
      </c>
      <c r="F40" s="426">
        <v>69800</v>
      </c>
      <c r="G40" s="31">
        <f>E40-F40</f>
        <v>0</v>
      </c>
      <c r="H40" s="280"/>
      <c r="I40" s="281"/>
    </row>
    <row r="41" spans="1:9" ht="30" customHeight="1" x14ac:dyDescent="0.25">
      <c r="A41" s="254"/>
      <c r="B41" s="3" t="s">
        <v>574</v>
      </c>
      <c r="C41" s="3"/>
      <c r="D41" s="3"/>
      <c r="E41" s="426">
        <v>83700</v>
      </c>
      <c r="F41" s="426">
        <v>83664.28</v>
      </c>
      <c r="G41" s="31">
        <f>E41-F41</f>
        <v>35.720000000001164</v>
      </c>
      <c r="H41" s="280"/>
      <c r="I41" s="281"/>
    </row>
    <row r="42" spans="1:9" ht="33.75" customHeight="1" x14ac:dyDescent="0.25">
      <c r="A42" s="254"/>
      <c r="B42" s="3" t="s">
        <v>575</v>
      </c>
      <c r="C42" s="3"/>
      <c r="D42" s="3"/>
      <c r="E42" s="426">
        <v>28700</v>
      </c>
      <c r="F42" s="426"/>
      <c r="G42" s="31">
        <f>E42-F42</f>
        <v>28700</v>
      </c>
      <c r="H42" s="280"/>
      <c r="I42" s="281"/>
    </row>
    <row r="43" spans="1:9" ht="50.25" customHeight="1" x14ac:dyDescent="0.25">
      <c r="A43" s="254"/>
      <c r="B43" s="3" t="s">
        <v>576</v>
      </c>
      <c r="C43" s="3"/>
      <c r="D43" s="3"/>
      <c r="E43" s="426">
        <v>350000</v>
      </c>
      <c r="F43" s="426">
        <v>331000.01</v>
      </c>
      <c r="G43" s="31">
        <f>E43-F43</f>
        <v>18999.989999999991</v>
      </c>
      <c r="H43" s="280"/>
      <c r="I43" s="281"/>
    </row>
    <row r="44" spans="1:9" ht="24.75" hidden="1" customHeight="1" x14ac:dyDescent="0.25">
      <c r="A44" s="82"/>
      <c r="B44" s="195" t="s">
        <v>42</v>
      </c>
      <c r="C44" s="195"/>
      <c r="D44" s="195"/>
      <c r="E44" s="427"/>
      <c r="F44" s="427"/>
      <c r="G44" s="89">
        <f>SUM(G40:G40)</f>
        <v>0</v>
      </c>
      <c r="H44" s="280"/>
      <c r="I44" s="281"/>
    </row>
    <row r="45" spans="1:9" ht="24.75" customHeight="1" x14ac:dyDescent="0.25">
      <c r="A45" s="41"/>
      <c r="B45" s="250" t="s">
        <v>19</v>
      </c>
      <c r="C45" s="250"/>
      <c r="D45" s="250"/>
      <c r="E45" s="428">
        <f>SUM(E40:E44)</f>
        <v>532200</v>
      </c>
      <c r="F45" s="428">
        <f>SUM(F40:F44)</f>
        <v>484464.29000000004</v>
      </c>
      <c r="G45" s="35">
        <f>+E45-F45</f>
        <v>47735.709999999963</v>
      </c>
      <c r="H45" s="280"/>
      <c r="I45" s="281"/>
    </row>
    <row r="46" spans="1:9" ht="24.75" customHeight="1" x14ac:dyDescent="0.25">
      <c r="A46" s="41"/>
      <c r="B46" s="250" t="s">
        <v>43</v>
      </c>
      <c r="C46" s="250"/>
      <c r="D46" s="250"/>
      <c r="E46" s="35">
        <f>+E45+C37</f>
        <v>532200</v>
      </c>
      <c r="F46" s="35">
        <f>+F45+D37</f>
        <v>484464.29000000004</v>
      </c>
      <c r="G46" s="35">
        <f>+E46-F46</f>
        <v>47735.709999999963</v>
      </c>
      <c r="H46" s="280"/>
      <c r="I46" s="281"/>
    </row>
    <row r="47" spans="1:9" ht="24.75" customHeight="1" x14ac:dyDescent="0.25">
      <c r="A47" s="41"/>
      <c r="B47" s="479" t="s">
        <v>40</v>
      </c>
      <c r="C47" s="479"/>
      <c r="D47" s="479"/>
      <c r="E47" s="68"/>
      <c r="F47" s="70">
        <f>F46/E46*100</f>
        <v>91.030494175122143</v>
      </c>
      <c r="G47" s="68" t="s">
        <v>39</v>
      </c>
      <c r="H47" s="280"/>
      <c r="I47" s="281"/>
    </row>
    <row r="48" spans="1:9" ht="10.5" customHeight="1" x14ac:dyDescent="0.25"/>
    <row r="49" spans="1:7" ht="10.5" customHeight="1" x14ac:dyDescent="0.25"/>
    <row r="50" spans="1:7" ht="10.5" customHeight="1" x14ac:dyDescent="0.25"/>
    <row r="51" spans="1:7" ht="10.5" customHeight="1" x14ac:dyDescent="0.25"/>
    <row r="52" spans="1:7" ht="18.75" customHeight="1" x14ac:dyDescent="0.25">
      <c r="A52" s="640" t="s">
        <v>473</v>
      </c>
      <c r="B52" s="640"/>
      <c r="C52" s="640"/>
      <c r="D52" s="640"/>
      <c r="E52" s="640"/>
      <c r="F52" s="640"/>
      <c r="G52" s="640"/>
    </row>
    <row r="53" spans="1:7" x14ac:dyDescent="0.25">
      <c r="E53" s="280"/>
    </row>
    <row r="54" spans="1:7" x14ac:dyDescent="0.25">
      <c r="A54" s="277" t="s">
        <v>210</v>
      </c>
      <c r="C54" s="320"/>
      <c r="D54" s="320"/>
      <c r="E54" s="280"/>
      <c r="F54" s="281" t="s">
        <v>203</v>
      </c>
      <c r="G54" s="321" t="s">
        <v>204</v>
      </c>
    </row>
  </sheetData>
  <mergeCells count="7">
    <mergeCell ref="B36:C36"/>
    <mergeCell ref="A5:G5"/>
    <mergeCell ref="A4:G4"/>
    <mergeCell ref="A6:G6"/>
    <mergeCell ref="A52:G52"/>
    <mergeCell ref="A7:D7"/>
    <mergeCell ref="A39:G39"/>
  </mergeCells>
  <phoneticPr fontId="22" type="noConversion"/>
  <pageMargins left="0.39370078740157483" right="0.39370078740157483" top="0.74803149606299213" bottom="0.74803149606299213" header="0.31496062992125984" footer="0.31496062992125984"/>
  <pageSetup paperSize="9" scale="75"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F17"/>
  <sheetViews>
    <sheetView topLeftCell="A10" workbookViewId="0">
      <selection activeCell="B20" sqref="B20"/>
    </sheetView>
  </sheetViews>
  <sheetFormatPr defaultRowHeight="15.75" x14ac:dyDescent="0.25"/>
  <cols>
    <col min="1" max="1" width="7.140625" customWidth="1"/>
    <col min="2" max="2" width="31.28515625" style="15" customWidth="1"/>
    <col min="3" max="3" width="5.85546875" style="15" customWidth="1"/>
    <col min="4" max="4" width="13.85546875" style="15" customWidth="1"/>
    <col min="5" max="5" width="13.5703125" style="25" customWidth="1"/>
    <col min="6" max="6" width="14.140625" style="15" customWidth="1"/>
  </cols>
  <sheetData>
    <row r="1" spans="1:6" x14ac:dyDescent="0.25">
      <c r="E1" s="509" t="s">
        <v>218</v>
      </c>
      <c r="F1" s="509"/>
    </row>
    <row r="2" spans="1:6" x14ac:dyDescent="0.25">
      <c r="E2" t="s">
        <v>198</v>
      </c>
      <c r="F2" s="1"/>
    </row>
    <row r="3" spans="1:6" x14ac:dyDescent="0.25">
      <c r="B3" s="1"/>
      <c r="C3" s="1"/>
      <c r="D3" s="1"/>
      <c r="E3" t="s">
        <v>289</v>
      </c>
      <c r="F3" s="1"/>
    </row>
    <row r="4" spans="1:6" x14ac:dyDescent="0.25">
      <c r="A4" s="503" t="s">
        <v>142</v>
      </c>
      <c r="B4" s="503"/>
      <c r="C4" s="503"/>
      <c r="D4" s="503"/>
      <c r="E4" s="503"/>
      <c r="F4" s="503"/>
    </row>
    <row r="5" spans="1:6" ht="33" customHeight="1" x14ac:dyDescent="0.25">
      <c r="A5" s="503" t="s">
        <v>384</v>
      </c>
      <c r="B5" s="503"/>
      <c r="C5" s="503"/>
      <c r="D5" s="503"/>
      <c r="E5" s="503"/>
      <c r="F5" s="503"/>
    </row>
    <row r="6" spans="1:6" ht="305.25" customHeight="1" x14ac:dyDescent="0.25">
      <c r="A6" s="574" t="s">
        <v>195</v>
      </c>
      <c r="B6" s="574"/>
      <c r="C6" s="574"/>
      <c r="D6" s="574"/>
      <c r="E6" s="574"/>
      <c r="F6" s="574"/>
    </row>
    <row r="7" spans="1:6" x14ac:dyDescent="0.25">
      <c r="A7" s="519" t="s">
        <v>256</v>
      </c>
      <c r="B7" s="519"/>
      <c r="C7" s="519"/>
      <c r="D7" s="519"/>
      <c r="E7" s="519"/>
      <c r="F7" s="519"/>
    </row>
    <row r="8" spans="1:6" x14ac:dyDescent="0.25">
      <c r="B8" s="52" t="s">
        <v>33</v>
      </c>
      <c r="C8" s="52"/>
      <c r="D8" s="55">
        <f>E13</f>
        <v>500000</v>
      </c>
      <c r="E8" s="52" t="s">
        <v>37</v>
      </c>
      <c r="F8" s="52"/>
    </row>
    <row r="9" spans="1:6" ht="30.75" customHeight="1" x14ac:dyDescent="0.25">
      <c r="A9" s="54" t="s">
        <v>24</v>
      </c>
      <c r="B9" s="10" t="s">
        <v>35</v>
      </c>
      <c r="C9" s="2" t="s">
        <v>20</v>
      </c>
      <c r="D9" s="2" t="s">
        <v>8</v>
      </c>
      <c r="E9" s="24" t="s">
        <v>9</v>
      </c>
      <c r="F9" s="2" t="s">
        <v>41</v>
      </c>
    </row>
    <row r="10" spans="1:6" x14ac:dyDescent="0.25">
      <c r="A10" s="41">
        <v>116013</v>
      </c>
      <c r="B10" s="26" t="s">
        <v>17</v>
      </c>
      <c r="C10" s="2"/>
      <c r="D10" s="147"/>
      <c r="E10" s="24"/>
      <c r="F10" s="2"/>
    </row>
    <row r="11" spans="1:6" x14ac:dyDescent="0.25">
      <c r="A11" s="41"/>
      <c r="B11" s="22" t="s">
        <v>15</v>
      </c>
      <c r="C11" s="14"/>
      <c r="D11" s="31">
        <v>500000</v>
      </c>
      <c r="E11" s="31">
        <v>500000</v>
      </c>
      <c r="F11" s="6">
        <f>+D11-E11</f>
        <v>0</v>
      </c>
    </row>
    <row r="12" spans="1:6" x14ac:dyDescent="0.25">
      <c r="A12" s="41"/>
      <c r="B12" s="3" t="s">
        <v>14</v>
      </c>
      <c r="C12" s="3"/>
      <c r="D12" s="6"/>
      <c r="E12" s="6"/>
      <c r="F12" s="6"/>
    </row>
    <row r="13" spans="1:6" x14ac:dyDescent="0.25">
      <c r="A13" s="41"/>
      <c r="B13" s="50" t="s">
        <v>16</v>
      </c>
      <c r="C13" s="14"/>
      <c r="D13" s="35">
        <v>500000</v>
      </c>
      <c r="E13" s="35">
        <f>SUM(E11:E12)</f>
        <v>500000</v>
      </c>
      <c r="F13" s="35"/>
    </row>
    <row r="14" spans="1:6" x14ac:dyDescent="0.25">
      <c r="A14" s="41"/>
      <c r="B14" s="301" t="s">
        <v>40</v>
      </c>
      <c r="C14" s="300"/>
      <c r="D14" s="302"/>
      <c r="E14" s="302">
        <f>E13/D13*100</f>
        <v>100</v>
      </c>
      <c r="F14" s="303" t="s">
        <v>39</v>
      </c>
    </row>
    <row r="15" spans="1:6" ht="18.75" customHeight="1" x14ac:dyDescent="0.25">
      <c r="B15" s="519"/>
      <c r="C15" s="519"/>
      <c r="D15" s="519"/>
      <c r="E15" s="519"/>
      <c r="F15" s="519"/>
    </row>
    <row r="17" spans="1:6" x14ac:dyDescent="0.25">
      <c r="A17" t="s">
        <v>202</v>
      </c>
      <c r="D17" s="317"/>
      <c r="E17" s="318" t="s">
        <v>203</v>
      </c>
      <c r="F17" s="15" t="s">
        <v>204</v>
      </c>
    </row>
  </sheetData>
  <mergeCells count="6">
    <mergeCell ref="E1:F1"/>
    <mergeCell ref="B15:F15"/>
    <mergeCell ref="A5:F5"/>
    <mergeCell ref="A4:F4"/>
    <mergeCell ref="A6:F6"/>
    <mergeCell ref="A7:F7"/>
  </mergeCells>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22"/>
  <sheetViews>
    <sheetView topLeftCell="A4" workbookViewId="0">
      <selection activeCell="J13" sqref="J13"/>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5" x14ac:dyDescent="0.25">
      <c r="D1" s="509" t="s">
        <v>491</v>
      </c>
      <c r="E1" s="509"/>
    </row>
    <row r="2" spans="1:5" ht="15.75" x14ac:dyDescent="0.25">
      <c r="D2" t="s">
        <v>198</v>
      </c>
      <c r="E2" s="1"/>
    </row>
    <row r="3" spans="1:5" ht="17.25" x14ac:dyDescent="0.25">
      <c r="A3" s="44"/>
      <c r="B3" s="40"/>
      <c r="C3" s="15"/>
      <c r="D3" t="s">
        <v>245</v>
      </c>
      <c r="E3" s="1"/>
    </row>
    <row r="4" spans="1:5" ht="15.75" x14ac:dyDescent="0.25">
      <c r="A4" s="517" t="s">
        <v>142</v>
      </c>
      <c r="B4" s="517"/>
      <c r="C4" s="517"/>
      <c r="D4" s="517"/>
      <c r="E4" s="517"/>
    </row>
    <row r="5" spans="1:5" ht="15.75" x14ac:dyDescent="0.25">
      <c r="A5" s="517" t="s">
        <v>492</v>
      </c>
      <c r="B5" s="517"/>
      <c r="C5" s="517"/>
      <c r="D5" s="517"/>
      <c r="E5" s="517"/>
    </row>
    <row r="6" spans="1:5" ht="15.75" customHeight="1" x14ac:dyDescent="0.25">
      <c r="A6" s="625" t="s">
        <v>493</v>
      </c>
      <c r="B6" s="625"/>
      <c r="C6" s="625"/>
      <c r="D6" s="625"/>
      <c r="E6" s="625"/>
    </row>
    <row r="7" spans="1:5" ht="134.25" customHeight="1" x14ac:dyDescent="0.25">
      <c r="A7" s="548" t="s">
        <v>494</v>
      </c>
      <c r="B7" s="548"/>
      <c r="C7" s="548"/>
      <c r="D7" s="548"/>
      <c r="E7" s="548"/>
    </row>
    <row r="8" spans="1:5" ht="51.75" customHeight="1" x14ac:dyDescent="0.25">
      <c r="A8" s="548" t="s">
        <v>495</v>
      </c>
      <c r="B8" s="548"/>
      <c r="C8" s="548"/>
      <c r="D8" s="548"/>
      <c r="E8" s="548"/>
    </row>
    <row r="9" spans="1:5" ht="15.75" customHeight="1" x14ac:dyDescent="0.35">
      <c r="A9" s="203"/>
      <c r="B9" s="203"/>
      <c r="C9" s="203"/>
      <c r="D9" s="203"/>
      <c r="E9" s="203"/>
    </row>
    <row r="10" spans="1:5" ht="15.75" x14ac:dyDescent="0.25">
      <c r="A10" s="45" t="s">
        <v>24</v>
      </c>
      <c r="B10" s="10" t="s">
        <v>12</v>
      </c>
      <c r="C10" s="10" t="s">
        <v>1</v>
      </c>
      <c r="D10" s="10" t="s">
        <v>11</v>
      </c>
      <c r="E10" s="10" t="s">
        <v>5</v>
      </c>
    </row>
    <row r="11" spans="1:5" ht="34.5" customHeight="1" x14ac:dyDescent="0.25">
      <c r="A11" s="46">
        <v>118240</v>
      </c>
      <c r="B11" s="101" t="s">
        <v>500</v>
      </c>
      <c r="C11" s="37">
        <v>9996</v>
      </c>
      <c r="D11" s="38">
        <v>9996</v>
      </c>
      <c r="E11" s="39"/>
    </row>
    <row r="12" spans="1:5" ht="15.75" x14ac:dyDescent="0.25">
      <c r="A12" s="46"/>
      <c r="B12" s="101" t="s">
        <v>496</v>
      </c>
      <c r="C12" s="37">
        <v>2004</v>
      </c>
      <c r="D12" s="38">
        <v>2004</v>
      </c>
      <c r="E12" s="39"/>
    </row>
    <row r="13" spans="1:5" ht="31.5" x14ac:dyDescent="0.25">
      <c r="A13" s="46"/>
      <c r="B13" s="101" t="s">
        <v>497</v>
      </c>
      <c r="C13" s="37">
        <v>1368</v>
      </c>
      <c r="D13" s="38">
        <v>1368</v>
      </c>
      <c r="E13" s="39"/>
    </row>
    <row r="14" spans="1:5" ht="31.5" x14ac:dyDescent="0.25">
      <c r="A14" s="46"/>
      <c r="B14" s="101" t="s">
        <v>498</v>
      </c>
      <c r="C14" s="37">
        <v>99900</v>
      </c>
      <c r="D14" s="38">
        <v>99900</v>
      </c>
      <c r="E14" s="39"/>
    </row>
    <row r="15" spans="1:5" ht="31.5" x14ac:dyDescent="0.25">
      <c r="A15" s="46"/>
      <c r="B15" s="101" t="s">
        <v>499</v>
      </c>
      <c r="C15" s="37">
        <v>99995</v>
      </c>
      <c r="D15" s="38">
        <v>99995</v>
      </c>
      <c r="E15" s="39"/>
    </row>
    <row r="16" spans="1:5" ht="15.75" x14ac:dyDescent="0.25">
      <c r="A16" s="46"/>
      <c r="B16" s="101" t="s">
        <v>501</v>
      </c>
      <c r="C16" s="37">
        <v>68000</v>
      </c>
      <c r="D16" s="38">
        <v>68000</v>
      </c>
      <c r="E16" s="39"/>
    </row>
    <row r="17" spans="1:5" ht="15.75" x14ac:dyDescent="0.25">
      <c r="A17" s="46"/>
      <c r="B17" s="5" t="s">
        <v>31</v>
      </c>
      <c r="C17" s="51">
        <v>281300</v>
      </c>
      <c r="D17" s="51">
        <f>SUM(D11:D16)</f>
        <v>281263</v>
      </c>
      <c r="E17" s="228">
        <f>C17-D17</f>
        <v>37</v>
      </c>
    </row>
    <row r="18" spans="1:5" ht="15.75" x14ac:dyDescent="0.25">
      <c r="A18" s="46"/>
      <c r="B18" s="153" t="s">
        <v>40</v>
      </c>
      <c r="C18" s="37"/>
      <c r="D18" s="144">
        <f>D17/C17*100</f>
        <v>99.986846782794174</v>
      </c>
      <c r="E18" s="154" t="s">
        <v>39</v>
      </c>
    </row>
    <row r="20" spans="1:5" ht="29.25" customHeight="1" x14ac:dyDescent="0.25">
      <c r="A20" s="548" t="s">
        <v>473</v>
      </c>
      <c r="B20" s="548"/>
      <c r="C20" s="548"/>
      <c r="D20" s="548"/>
      <c r="E20" s="548"/>
    </row>
    <row r="22" spans="1:5" x14ac:dyDescent="0.25">
      <c r="A22" t="s">
        <v>202</v>
      </c>
      <c r="C22" s="324"/>
      <c r="D22" s="158" t="s">
        <v>203</v>
      </c>
      <c r="E22" t="s">
        <v>204</v>
      </c>
    </row>
  </sheetData>
  <mergeCells count="7">
    <mergeCell ref="D1:E1"/>
    <mergeCell ref="A8:E8"/>
    <mergeCell ref="A20:E20"/>
    <mergeCell ref="A5:E5"/>
    <mergeCell ref="A6:E6"/>
    <mergeCell ref="A4:E4"/>
    <mergeCell ref="A7:E7"/>
  </mergeCells>
  <pageMargins left="0.70866141732283472" right="0.70866141732283472" top="0.74803149606299213" bottom="0.74803149606299213" header="0.31496062992125984" footer="0.31496062992125984"/>
  <pageSetup paperSize="9" scale="7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17"/>
  <sheetViews>
    <sheetView topLeftCell="A4" workbookViewId="0">
      <selection activeCell="A15" sqref="A15:F15"/>
    </sheetView>
  </sheetViews>
  <sheetFormatPr defaultRowHeight="15" x14ac:dyDescent="0.25"/>
  <cols>
    <col min="1" max="1" width="6.7109375" customWidth="1"/>
    <col min="2" max="2" width="30.85546875" customWidth="1"/>
    <col min="3" max="3" width="11" customWidth="1"/>
    <col min="4" max="4" width="15.140625" customWidth="1"/>
    <col min="5" max="5" width="14.28515625" customWidth="1"/>
    <col min="6" max="6" width="13.7109375" customWidth="1"/>
  </cols>
  <sheetData>
    <row r="1" spans="1:10" x14ac:dyDescent="0.25">
      <c r="E1" s="509" t="s">
        <v>232</v>
      </c>
      <c r="F1" s="509"/>
    </row>
    <row r="2" spans="1:10" ht="15.75" x14ac:dyDescent="0.25">
      <c r="E2" t="s">
        <v>198</v>
      </c>
      <c r="F2" s="1"/>
    </row>
    <row r="3" spans="1:10" ht="15.75" x14ac:dyDescent="0.25">
      <c r="B3" s="17"/>
      <c r="C3" s="17"/>
      <c r="D3" s="17"/>
      <c r="E3" t="s">
        <v>245</v>
      </c>
      <c r="F3" s="1"/>
    </row>
    <row r="4" spans="1:10" ht="15.75" customHeight="1" x14ac:dyDescent="0.25">
      <c r="A4" s="517" t="s">
        <v>142</v>
      </c>
      <c r="B4" s="517"/>
      <c r="C4" s="517"/>
      <c r="D4" s="517"/>
      <c r="E4" s="517"/>
      <c r="F4" s="517"/>
    </row>
    <row r="5" spans="1:10" ht="34.5" customHeight="1" x14ac:dyDescent="0.25">
      <c r="A5" s="503" t="s">
        <v>487</v>
      </c>
      <c r="B5" s="503"/>
      <c r="C5" s="503"/>
      <c r="D5" s="503"/>
      <c r="E5" s="503"/>
      <c r="F5" s="503"/>
    </row>
    <row r="6" spans="1:10" ht="309" customHeight="1" x14ac:dyDescent="0.25">
      <c r="A6" s="548" t="s">
        <v>158</v>
      </c>
      <c r="B6" s="548"/>
      <c r="C6" s="548"/>
      <c r="D6" s="548"/>
      <c r="E6" s="548"/>
      <c r="F6" s="548"/>
    </row>
    <row r="7" spans="1:10" ht="16.5" x14ac:dyDescent="0.25">
      <c r="A7" s="633" t="s">
        <v>256</v>
      </c>
      <c r="B7" s="633"/>
      <c r="C7" s="633"/>
      <c r="D7" s="219">
        <f>E12</f>
        <v>1901327.26</v>
      </c>
      <c r="E7" s="96" t="s">
        <v>37</v>
      </c>
      <c r="F7" s="199"/>
      <c r="J7" s="206"/>
    </row>
    <row r="8" spans="1:10" ht="15.75" customHeight="1" x14ac:dyDescent="0.25">
      <c r="C8" s="1"/>
      <c r="D8" s="1"/>
      <c r="E8" s="1"/>
      <c r="F8" s="1"/>
      <c r="J8" s="206"/>
    </row>
    <row r="9" spans="1:10" ht="31.5" x14ac:dyDescent="0.25">
      <c r="A9" s="99" t="s">
        <v>24</v>
      </c>
      <c r="B9" s="42" t="s">
        <v>12</v>
      </c>
      <c r="C9" s="10" t="s">
        <v>10</v>
      </c>
      <c r="D9" s="10" t="s">
        <v>1</v>
      </c>
      <c r="E9" s="10" t="s">
        <v>11</v>
      </c>
      <c r="F9" s="10" t="s">
        <v>5</v>
      </c>
      <c r="J9" s="206"/>
    </row>
    <row r="10" spans="1:10" ht="63" x14ac:dyDescent="0.25">
      <c r="A10" s="41">
        <v>117350</v>
      </c>
      <c r="B10" s="139" t="s">
        <v>488</v>
      </c>
      <c r="C10" s="13">
        <v>1</v>
      </c>
      <c r="D10" s="8">
        <v>1709952</v>
      </c>
      <c r="E10" s="6">
        <v>1709951.26</v>
      </c>
      <c r="F10" s="16">
        <f>D10-E10</f>
        <v>0.73999999999068677</v>
      </c>
      <c r="J10" s="206"/>
    </row>
    <row r="11" spans="1:10" ht="94.5" x14ac:dyDescent="0.25">
      <c r="A11" s="41"/>
      <c r="B11" s="139" t="s">
        <v>489</v>
      </c>
      <c r="C11" s="13">
        <v>1</v>
      </c>
      <c r="D11" s="8">
        <v>192000</v>
      </c>
      <c r="E11" s="6">
        <v>191376</v>
      </c>
      <c r="F11" s="16"/>
      <c r="J11" s="206"/>
    </row>
    <row r="12" spans="1:10" ht="16.5" x14ac:dyDescent="0.25">
      <c r="A12" s="41"/>
      <c r="B12" s="140" t="s">
        <v>3</v>
      </c>
      <c r="C12" s="5"/>
      <c r="D12" s="478">
        <f>SUM(D10:D11)</f>
        <v>1901952</v>
      </c>
      <c r="E12" s="478">
        <f>SUM(E10:E11)</f>
        <v>1901327.26</v>
      </c>
      <c r="F12" s="7">
        <f>SUM(F10:F10)</f>
        <v>0.73999999999068677</v>
      </c>
      <c r="J12" s="206"/>
    </row>
    <row r="13" spans="1:10" ht="16.5" x14ac:dyDescent="0.25">
      <c r="A13" s="72"/>
      <c r="B13" s="66" t="s">
        <v>38</v>
      </c>
      <c r="C13" s="59"/>
      <c r="D13" s="59"/>
      <c r="E13" s="73">
        <f>E12/D12*100</f>
        <v>99.967152693653688</v>
      </c>
      <c r="F13" s="71" t="s">
        <v>39</v>
      </c>
      <c r="J13" s="206"/>
    </row>
    <row r="14" spans="1:10" ht="16.5" x14ac:dyDescent="0.25">
      <c r="J14" s="206"/>
    </row>
    <row r="15" spans="1:10" ht="37.5" customHeight="1" x14ac:dyDescent="0.25">
      <c r="A15" s="548" t="s">
        <v>490</v>
      </c>
      <c r="B15" s="548"/>
      <c r="C15" s="548"/>
      <c r="D15" s="548"/>
      <c r="E15" s="548"/>
      <c r="F15" s="548"/>
      <c r="J15" s="206"/>
    </row>
    <row r="17" spans="1:6" x14ac:dyDescent="0.25">
      <c r="A17" t="s">
        <v>202</v>
      </c>
      <c r="D17" s="324"/>
      <c r="E17" s="158" t="s">
        <v>203</v>
      </c>
      <c r="F17" t="s">
        <v>204</v>
      </c>
    </row>
  </sheetData>
  <mergeCells count="6">
    <mergeCell ref="E1:F1"/>
    <mergeCell ref="A15:F15"/>
    <mergeCell ref="A5:F5"/>
    <mergeCell ref="A4:F4"/>
    <mergeCell ref="A6:F6"/>
    <mergeCell ref="A7:C7"/>
  </mergeCells>
  <pageMargins left="0.39370078740157483" right="0.39370078740157483" top="0.74803149606299213" bottom="0.74803149606299213"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23"/>
  <sheetViews>
    <sheetView workbookViewId="0">
      <selection activeCell="N12" sqref="N12"/>
    </sheetView>
  </sheetViews>
  <sheetFormatPr defaultRowHeight="15.75" x14ac:dyDescent="0.25"/>
  <cols>
    <col min="1" max="1" width="7.140625" customWidth="1"/>
    <col min="2" max="2" width="33.28515625" style="15" customWidth="1"/>
    <col min="3" max="3" width="14.5703125" style="15" customWidth="1"/>
    <col min="4" max="4" width="13.5703125" style="25" customWidth="1"/>
    <col min="5" max="5" width="15.28515625" style="15" customWidth="1"/>
  </cols>
  <sheetData>
    <row r="1" spans="1:5" x14ac:dyDescent="0.25">
      <c r="D1" s="509" t="s">
        <v>234</v>
      </c>
      <c r="E1" s="509"/>
    </row>
    <row r="2" spans="1:5" x14ac:dyDescent="0.25">
      <c r="D2" t="s">
        <v>198</v>
      </c>
      <c r="E2" s="1"/>
    </row>
    <row r="3" spans="1:5" x14ac:dyDescent="0.25">
      <c r="C3" s="1"/>
      <c r="D3" t="s">
        <v>245</v>
      </c>
      <c r="E3" s="1"/>
    </row>
    <row r="4" spans="1:5" x14ac:dyDescent="0.25">
      <c r="A4" s="511" t="s">
        <v>142</v>
      </c>
      <c r="B4" s="511"/>
      <c r="C4" s="511"/>
      <c r="D4" s="511"/>
      <c r="E4" s="511"/>
    </row>
    <row r="5" spans="1:5" ht="51.75" customHeight="1" x14ac:dyDescent="0.25">
      <c r="A5" s="503" t="s">
        <v>410</v>
      </c>
      <c r="B5" s="503"/>
      <c r="C5" s="503"/>
      <c r="D5" s="503"/>
      <c r="E5" s="503"/>
    </row>
    <row r="6" spans="1:5" ht="181.5" customHeight="1" x14ac:dyDescent="0.25">
      <c r="A6" s="548" t="s">
        <v>165</v>
      </c>
      <c r="B6" s="548"/>
      <c r="C6" s="548"/>
      <c r="D6" s="548"/>
      <c r="E6" s="548"/>
    </row>
    <row r="7" spans="1:5" x14ac:dyDescent="0.25">
      <c r="A7" s="519" t="s">
        <v>256</v>
      </c>
      <c r="B7" s="519"/>
      <c r="C7" s="519"/>
      <c r="D7" s="519"/>
      <c r="E7" s="519"/>
    </row>
    <row r="8" spans="1:5" x14ac:dyDescent="0.25">
      <c r="B8" s="160" t="s">
        <v>33</v>
      </c>
      <c r="C8" s="57">
        <f>D18</f>
        <v>101988</v>
      </c>
      <c r="D8" s="97" t="s">
        <v>37</v>
      </c>
      <c r="E8" s="160"/>
    </row>
    <row r="9" spans="1:5" ht="18.75" customHeight="1" x14ac:dyDescent="0.25">
      <c r="B9" s="163"/>
      <c r="C9" s="56"/>
      <c r="D9" s="96"/>
      <c r="E9" s="162"/>
    </row>
    <row r="10" spans="1:5" ht="30.75" customHeight="1" x14ac:dyDescent="0.25">
      <c r="A10" s="99" t="s">
        <v>24</v>
      </c>
      <c r="B10" s="10" t="s">
        <v>95</v>
      </c>
      <c r="C10" s="10" t="s">
        <v>1</v>
      </c>
      <c r="D10" s="113" t="s">
        <v>9</v>
      </c>
      <c r="E10" s="10" t="s">
        <v>5</v>
      </c>
    </row>
    <row r="11" spans="1:5" x14ac:dyDescent="0.25">
      <c r="B11" s="521" t="s">
        <v>17</v>
      </c>
      <c r="C11" s="522"/>
      <c r="D11" s="522"/>
      <c r="E11" s="523"/>
    </row>
    <row r="12" spans="1:5" ht="68.25" customHeight="1" x14ac:dyDescent="0.25">
      <c r="A12" s="166">
        <v>111142</v>
      </c>
      <c r="B12" s="102" t="s">
        <v>121</v>
      </c>
      <c r="C12" s="6">
        <v>135984</v>
      </c>
      <c r="D12" s="6">
        <v>101988</v>
      </c>
      <c r="E12" s="6">
        <f>+C12-D12</f>
        <v>33996</v>
      </c>
    </row>
    <row r="13" spans="1:5" x14ac:dyDescent="0.25">
      <c r="A13" s="41"/>
      <c r="B13" s="3" t="s">
        <v>411</v>
      </c>
      <c r="C13" s="6">
        <v>16998</v>
      </c>
      <c r="D13" s="6">
        <v>16998</v>
      </c>
      <c r="E13" s="6">
        <f>+C13-D13</f>
        <v>0</v>
      </c>
    </row>
    <row r="14" spans="1:5" x14ac:dyDescent="0.25">
      <c r="A14" s="41"/>
      <c r="B14" s="3" t="s">
        <v>58</v>
      </c>
      <c r="C14" s="6">
        <v>33996</v>
      </c>
      <c r="D14" s="6">
        <v>33996</v>
      </c>
      <c r="E14" s="6">
        <f t="shared" ref="E14:E17" si="0">+C14-D14</f>
        <v>0</v>
      </c>
    </row>
    <row r="15" spans="1:5" x14ac:dyDescent="0.25">
      <c r="A15" s="41"/>
      <c r="B15" s="3" t="s">
        <v>412</v>
      </c>
      <c r="C15" s="6">
        <v>16998</v>
      </c>
      <c r="D15" s="6">
        <v>16998</v>
      </c>
      <c r="E15" s="6">
        <f t="shared" si="0"/>
        <v>0</v>
      </c>
    </row>
    <row r="16" spans="1:5" x14ac:dyDescent="0.25">
      <c r="A16" s="41"/>
      <c r="B16" s="78" t="s">
        <v>258</v>
      </c>
      <c r="C16" s="6">
        <v>16998</v>
      </c>
      <c r="D16" s="6">
        <v>16998</v>
      </c>
      <c r="E16" s="6">
        <f t="shared" si="0"/>
        <v>0</v>
      </c>
    </row>
    <row r="17" spans="1:5" x14ac:dyDescent="0.25">
      <c r="A17" s="41"/>
      <c r="B17" s="78" t="s">
        <v>60</v>
      </c>
      <c r="C17" s="6">
        <v>50994</v>
      </c>
      <c r="D17" s="6">
        <v>16998</v>
      </c>
      <c r="E17" s="6">
        <f t="shared" si="0"/>
        <v>33996</v>
      </c>
    </row>
    <row r="18" spans="1:5" x14ac:dyDescent="0.25">
      <c r="A18" s="41"/>
      <c r="B18" s="161" t="s">
        <v>42</v>
      </c>
      <c r="C18" s="35">
        <f>+C12</f>
        <v>135984</v>
      </c>
      <c r="D18" s="35">
        <f>+D12</f>
        <v>101988</v>
      </c>
      <c r="E18" s="35">
        <f>C18-D18</f>
        <v>33996</v>
      </c>
    </row>
    <row r="19" spans="1:5" x14ac:dyDescent="0.25">
      <c r="A19" s="63"/>
      <c r="B19" s="65" t="s">
        <v>40</v>
      </c>
      <c r="C19" s="67"/>
      <c r="D19" s="69">
        <f>D18/C18*100</f>
        <v>75</v>
      </c>
      <c r="E19" s="68" t="s">
        <v>39</v>
      </c>
    </row>
    <row r="20" spans="1:5" x14ac:dyDescent="0.25">
      <c r="B20" s="548"/>
      <c r="C20" s="548"/>
      <c r="D20" s="548"/>
      <c r="E20" s="548"/>
    </row>
    <row r="21" spans="1:5" ht="55.5" customHeight="1" x14ac:dyDescent="0.25">
      <c r="A21" s="513" t="s">
        <v>413</v>
      </c>
      <c r="B21" s="513"/>
      <c r="C21" s="513"/>
      <c r="D21" s="513"/>
      <c r="E21" s="513"/>
    </row>
    <row r="22" spans="1:5" ht="39" customHeight="1" x14ac:dyDescent="0.25"/>
    <row r="23" spans="1:5" ht="15" x14ac:dyDescent="0.25">
      <c r="A23" t="s">
        <v>202</v>
      </c>
      <c r="B23"/>
      <c r="C23" s="324"/>
      <c r="D23" s="158" t="s">
        <v>203</v>
      </c>
      <c r="E23" t="s">
        <v>204</v>
      </c>
    </row>
  </sheetData>
  <mergeCells count="8">
    <mergeCell ref="D1:E1"/>
    <mergeCell ref="A21:E21"/>
    <mergeCell ref="A4:E4"/>
    <mergeCell ref="A5:E5"/>
    <mergeCell ref="A6:E6"/>
    <mergeCell ref="A7:E7"/>
    <mergeCell ref="B11:E11"/>
    <mergeCell ref="B20:E20"/>
  </mergeCells>
  <pageMargins left="0.39370078740157483" right="0.39370078740157483"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31"/>
  <sheetViews>
    <sheetView tabSelected="1" topLeftCell="A12" workbookViewId="0">
      <selection activeCell="D16" sqref="D14:D16"/>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9" t="s">
        <v>491</v>
      </c>
      <c r="E1" s="509"/>
    </row>
    <row r="2" spans="1:7" ht="15.75" x14ac:dyDescent="0.25">
      <c r="D2" t="s">
        <v>198</v>
      </c>
      <c r="E2" s="1"/>
    </row>
    <row r="3" spans="1:7" ht="17.25" x14ac:dyDescent="0.25">
      <c r="A3" s="44"/>
      <c r="B3" s="40"/>
      <c r="C3" s="15"/>
      <c r="D3" t="s">
        <v>245</v>
      </c>
      <c r="E3" s="1"/>
    </row>
    <row r="4" spans="1:7" ht="15.75" x14ac:dyDescent="0.25">
      <c r="A4" s="517" t="s">
        <v>142</v>
      </c>
      <c r="B4" s="517"/>
      <c r="C4" s="517"/>
      <c r="D4" s="517"/>
      <c r="E4" s="517"/>
    </row>
    <row r="5" spans="1:7" ht="15.75" x14ac:dyDescent="0.25">
      <c r="A5" s="517" t="s">
        <v>560</v>
      </c>
      <c r="B5" s="517"/>
      <c r="C5" s="517"/>
      <c r="D5" s="517"/>
      <c r="E5" s="517"/>
    </row>
    <row r="6" spans="1:7" ht="15.75" customHeight="1" x14ac:dyDescent="0.25">
      <c r="A6" s="625"/>
      <c r="B6" s="625"/>
      <c r="C6" s="625"/>
      <c r="D6" s="625"/>
      <c r="E6" s="625"/>
    </row>
    <row r="7" spans="1:7" ht="232.5" customHeight="1" x14ac:dyDescent="0.25">
      <c r="A7" s="548" t="s">
        <v>561</v>
      </c>
      <c r="B7" s="548"/>
      <c r="C7" s="548"/>
      <c r="D7" s="548"/>
      <c r="E7" s="548"/>
    </row>
    <row r="8" spans="1:7" ht="69.75" customHeight="1" x14ac:dyDescent="0.25">
      <c r="A8" s="548" t="s">
        <v>562</v>
      </c>
      <c r="B8" s="548"/>
      <c r="C8" s="548"/>
      <c r="D8" s="548"/>
      <c r="E8" s="548"/>
    </row>
    <row r="9" spans="1:7" ht="15.75" x14ac:dyDescent="0.25">
      <c r="A9" s="633" t="s">
        <v>256</v>
      </c>
      <c r="B9" s="633"/>
      <c r="C9" s="633"/>
      <c r="D9" s="492">
        <f>+C10+C11</f>
        <v>379979.99</v>
      </c>
      <c r="E9" s="429" t="s">
        <v>37</v>
      </c>
      <c r="F9" s="49"/>
      <c r="G9" s="49"/>
    </row>
    <row r="10" spans="1:7" ht="15.75" x14ac:dyDescent="0.25">
      <c r="A10" s="496"/>
      <c r="B10" s="495" t="s">
        <v>33</v>
      </c>
      <c r="C10" s="480">
        <f>+D20</f>
        <v>302074.99</v>
      </c>
      <c r="D10" s="429" t="s">
        <v>37</v>
      </c>
      <c r="E10" s="49"/>
      <c r="F10" s="49"/>
      <c r="G10" s="49"/>
    </row>
    <row r="11" spans="1:7" ht="15.75" x14ac:dyDescent="0.25">
      <c r="A11" s="496"/>
      <c r="B11" s="494" t="s">
        <v>34</v>
      </c>
      <c r="C11" s="421">
        <f>+D25</f>
        <v>77905</v>
      </c>
      <c r="D11" s="429" t="s">
        <v>37</v>
      </c>
      <c r="E11" s="49"/>
      <c r="F11" s="49"/>
      <c r="G11" s="49"/>
    </row>
    <row r="12" spans="1:7" ht="15.75" customHeight="1" x14ac:dyDescent="0.25">
      <c r="A12" s="203"/>
      <c r="B12" s="203"/>
      <c r="C12" s="203"/>
      <c r="D12" s="203"/>
      <c r="E12" s="203"/>
    </row>
    <row r="13" spans="1:7" ht="15.75" x14ac:dyDescent="0.25">
      <c r="A13" s="45" t="s">
        <v>24</v>
      </c>
      <c r="B13" s="10" t="s">
        <v>12</v>
      </c>
      <c r="C13" s="10" t="s">
        <v>1</v>
      </c>
      <c r="D13" s="10" t="s">
        <v>11</v>
      </c>
      <c r="E13" s="10" t="s">
        <v>5</v>
      </c>
    </row>
    <row r="14" spans="1:7" ht="53.25" customHeight="1" x14ac:dyDescent="0.25">
      <c r="A14" s="36">
        <v>118230</v>
      </c>
      <c r="B14" s="101" t="s">
        <v>564</v>
      </c>
      <c r="C14" s="37">
        <v>322700</v>
      </c>
      <c r="D14" s="38">
        <v>179368</v>
      </c>
      <c r="E14" s="39">
        <f>+C14-D14</f>
        <v>143332</v>
      </c>
    </row>
    <row r="15" spans="1:7" ht="31.5" x14ac:dyDescent="0.25">
      <c r="A15" s="46"/>
      <c r="B15" s="101" t="s">
        <v>565</v>
      </c>
      <c r="C15" s="37">
        <v>21700</v>
      </c>
      <c r="D15" s="38">
        <v>21691.99</v>
      </c>
      <c r="E15" s="39">
        <f t="shared" ref="E15:E18" si="0">+C15-D15</f>
        <v>8.0099999999983993</v>
      </c>
    </row>
    <row r="16" spans="1:7" ht="47.25" x14ac:dyDescent="0.25">
      <c r="A16" s="46"/>
      <c r="B16" s="101" t="s">
        <v>566</v>
      </c>
      <c r="C16" s="37">
        <v>15005</v>
      </c>
      <c r="D16" s="38">
        <v>14015</v>
      </c>
      <c r="E16" s="39">
        <f t="shared" si="0"/>
        <v>990</v>
      </c>
    </row>
    <row r="17" spans="1:5" ht="15.75" x14ac:dyDescent="0.25">
      <c r="A17" s="46">
        <v>3719800</v>
      </c>
      <c r="B17" s="101"/>
      <c r="C17" s="37"/>
      <c r="D17" s="38"/>
      <c r="E17" s="39"/>
    </row>
    <row r="18" spans="1:5" ht="45" customHeight="1" x14ac:dyDescent="0.25">
      <c r="A18" s="46"/>
      <c r="B18" s="101" t="s">
        <v>564</v>
      </c>
      <c r="C18" s="37">
        <v>87000</v>
      </c>
      <c r="D18" s="38">
        <v>87000</v>
      </c>
      <c r="E18" s="39">
        <f t="shared" si="0"/>
        <v>0</v>
      </c>
    </row>
    <row r="19" spans="1:5" ht="15.75" x14ac:dyDescent="0.25">
      <c r="A19" s="46"/>
      <c r="B19" s="101"/>
      <c r="C19" s="37"/>
      <c r="D19" s="38"/>
      <c r="E19" s="39"/>
    </row>
    <row r="20" spans="1:5" ht="15.75" x14ac:dyDescent="0.25">
      <c r="A20" s="46"/>
      <c r="B20" s="5" t="s">
        <v>31</v>
      </c>
      <c r="C20" s="51">
        <f>SUM(C14:C19)</f>
        <v>446405</v>
      </c>
      <c r="D20" s="51">
        <f>SUM(D14:D19)</f>
        <v>302074.99</v>
      </c>
      <c r="E20" s="228">
        <f>C20-D20</f>
        <v>144330.01</v>
      </c>
    </row>
    <row r="21" spans="1:5" ht="15.75" x14ac:dyDescent="0.25">
      <c r="A21" s="46"/>
      <c r="B21" s="153" t="s">
        <v>40</v>
      </c>
      <c r="C21" s="37"/>
      <c r="D21" s="144">
        <f>D20/C20*100</f>
        <v>67.668370649970313</v>
      </c>
      <c r="E21" s="154" t="s">
        <v>39</v>
      </c>
    </row>
    <row r="23" spans="1:5" ht="15.75" x14ac:dyDescent="0.25">
      <c r="A23" s="552" t="s">
        <v>18</v>
      </c>
      <c r="B23" s="552"/>
      <c r="C23" s="552"/>
      <c r="D23" s="552"/>
      <c r="E23" s="552"/>
    </row>
    <row r="24" spans="1:5" ht="15.75" x14ac:dyDescent="0.25">
      <c r="A24" s="36">
        <v>118230</v>
      </c>
      <c r="B24" s="3" t="s">
        <v>563</v>
      </c>
      <c r="C24" s="426">
        <v>79095</v>
      </c>
      <c r="D24" s="426">
        <v>77905</v>
      </c>
      <c r="E24" s="31">
        <f>C24-D24</f>
        <v>1190</v>
      </c>
    </row>
    <row r="25" spans="1:5" ht="15.75" x14ac:dyDescent="0.25">
      <c r="A25" s="41"/>
      <c r="B25" s="250" t="s">
        <v>19</v>
      </c>
      <c r="C25" s="428">
        <f>+C24</f>
        <v>79095</v>
      </c>
      <c r="D25" s="428">
        <f>+D24</f>
        <v>77905</v>
      </c>
      <c r="E25" s="35">
        <f>+C25-D25</f>
        <v>1190</v>
      </c>
    </row>
    <row r="26" spans="1:5" ht="15.75" x14ac:dyDescent="0.25">
      <c r="A26" s="41"/>
      <c r="B26" s="250" t="s">
        <v>43</v>
      </c>
      <c r="C26" s="35">
        <f>+C25+C20</f>
        <v>525500</v>
      </c>
      <c r="D26" s="35">
        <f>+D25+D20</f>
        <v>379979.99</v>
      </c>
      <c r="E26" s="35">
        <f>+C26-D26</f>
        <v>145520.01</v>
      </c>
    </row>
    <row r="27" spans="1:5" ht="15.75" x14ac:dyDescent="0.25">
      <c r="A27" s="41"/>
      <c r="B27" s="479" t="s">
        <v>40</v>
      </c>
      <c r="C27" s="68"/>
      <c r="D27" s="70">
        <f>D26/C26*100</f>
        <v>72.308275927687916</v>
      </c>
      <c r="E27" s="68" t="s">
        <v>39</v>
      </c>
    </row>
    <row r="28" spans="1:5" ht="15.75" x14ac:dyDescent="0.25">
      <c r="A28" s="497"/>
      <c r="B28" s="498"/>
      <c r="C28" s="499"/>
      <c r="D28" s="500"/>
      <c r="E28" s="499"/>
    </row>
    <row r="29" spans="1:5" ht="29.25" customHeight="1" x14ac:dyDescent="0.25">
      <c r="A29" s="548" t="s">
        <v>473</v>
      </c>
      <c r="B29" s="548"/>
      <c r="C29" s="548"/>
      <c r="D29" s="548"/>
      <c r="E29" s="548"/>
    </row>
    <row r="31" spans="1:5" x14ac:dyDescent="0.25">
      <c r="A31" t="s">
        <v>202</v>
      </c>
      <c r="C31" s="324"/>
      <c r="D31" s="158" t="s">
        <v>203</v>
      </c>
      <c r="E31" t="s">
        <v>204</v>
      </c>
    </row>
  </sheetData>
  <mergeCells count="9">
    <mergeCell ref="A29:E29"/>
    <mergeCell ref="A23:E23"/>
    <mergeCell ref="D1:E1"/>
    <mergeCell ref="A4:E4"/>
    <mergeCell ref="A5:E5"/>
    <mergeCell ref="A6:E6"/>
    <mergeCell ref="A7:E7"/>
    <mergeCell ref="A8:E8"/>
    <mergeCell ref="A9:C9"/>
  </mergeCells>
  <pageMargins left="0.70866141732283472" right="0.70866141732283472" top="0.74803149606299213" bottom="0.74803149606299213" header="0.31496062992125984" footer="0.31496062992125984"/>
  <pageSetup paperSize="9" scale="7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27"/>
  <sheetViews>
    <sheetView topLeftCell="B16" workbookViewId="0">
      <selection activeCell="S31" sqref="S31"/>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9" t="s">
        <v>491</v>
      </c>
      <c r="E1" s="509"/>
    </row>
    <row r="2" spans="1:7" ht="15.75" x14ac:dyDescent="0.25">
      <c r="D2" t="s">
        <v>198</v>
      </c>
      <c r="E2" s="1"/>
    </row>
    <row r="3" spans="1:7" ht="17.25" x14ac:dyDescent="0.25">
      <c r="A3" s="44"/>
      <c r="B3" s="40"/>
      <c r="C3" s="15"/>
      <c r="D3" t="s">
        <v>245</v>
      </c>
      <c r="E3" s="1"/>
    </row>
    <row r="4" spans="1:7" ht="15.75" x14ac:dyDescent="0.25">
      <c r="A4" s="517" t="s">
        <v>142</v>
      </c>
      <c r="B4" s="517"/>
      <c r="C4" s="517"/>
      <c r="D4" s="517"/>
      <c r="E4" s="517"/>
    </row>
    <row r="5" spans="1:7" ht="15.75" x14ac:dyDescent="0.25">
      <c r="A5" s="517" t="s">
        <v>567</v>
      </c>
      <c r="B5" s="517"/>
      <c r="C5" s="517"/>
      <c r="D5" s="517"/>
      <c r="E5" s="517"/>
    </row>
    <row r="6" spans="1:7" ht="15.75" customHeight="1" x14ac:dyDescent="0.25">
      <c r="A6" s="625"/>
      <c r="B6" s="625"/>
      <c r="C6" s="625"/>
      <c r="D6" s="625"/>
      <c r="E6" s="625"/>
    </row>
    <row r="7" spans="1:7" ht="291.75" customHeight="1" x14ac:dyDescent="0.25">
      <c r="A7" s="548" t="s">
        <v>568</v>
      </c>
      <c r="B7" s="548"/>
      <c r="C7" s="548"/>
      <c r="D7" s="548"/>
      <c r="E7" s="548"/>
    </row>
    <row r="8" spans="1:7" ht="15.75" x14ac:dyDescent="0.25">
      <c r="A8" s="633" t="s">
        <v>256</v>
      </c>
      <c r="B8" s="633"/>
      <c r="C8" s="633"/>
      <c r="D8" s="492">
        <f>+C9+C10</f>
        <v>738622</v>
      </c>
      <c r="E8" s="429" t="s">
        <v>37</v>
      </c>
      <c r="F8" s="49"/>
      <c r="G8" s="49"/>
    </row>
    <row r="9" spans="1:7" ht="15.75" x14ac:dyDescent="0.25">
      <c r="A9" s="496"/>
      <c r="B9" s="495" t="s">
        <v>33</v>
      </c>
      <c r="C9" s="480">
        <f>+D16</f>
        <v>248200</v>
      </c>
      <c r="D9" s="429" t="s">
        <v>37</v>
      </c>
      <c r="E9" s="49"/>
      <c r="F9" s="49"/>
      <c r="G9" s="49"/>
    </row>
    <row r="10" spans="1:7" ht="15.75" x14ac:dyDescent="0.25">
      <c r="A10" s="496"/>
      <c r="B10" s="494" t="s">
        <v>34</v>
      </c>
      <c r="C10" s="421">
        <f>+D21</f>
        <v>490422</v>
      </c>
      <c r="D10" s="429" t="s">
        <v>37</v>
      </c>
      <c r="E10" s="49"/>
      <c r="F10" s="49"/>
      <c r="G10" s="49"/>
    </row>
    <row r="11" spans="1:7" ht="15.75" customHeight="1" x14ac:dyDescent="0.25">
      <c r="A11" s="203"/>
      <c r="B11" s="203"/>
      <c r="C11" s="203"/>
      <c r="D11" s="203"/>
      <c r="E11" s="203"/>
    </row>
    <row r="12" spans="1:7" ht="15.75" x14ac:dyDescent="0.25">
      <c r="A12" s="45" t="s">
        <v>24</v>
      </c>
      <c r="B12" s="10" t="s">
        <v>12</v>
      </c>
      <c r="C12" s="10" t="s">
        <v>1</v>
      </c>
      <c r="D12" s="10" t="s">
        <v>11</v>
      </c>
      <c r="E12" s="10" t="s">
        <v>5</v>
      </c>
    </row>
    <row r="13" spans="1:7" ht="24" customHeight="1" x14ac:dyDescent="0.25">
      <c r="A13" s="36">
        <v>118230</v>
      </c>
      <c r="B13" s="101" t="s">
        <v>570</v>
      </c>
      <c r="C13" s="37">
        <v>100000</v>
      </c>
      <c r="D13" s="38">
        <v>99200</v>
      </c>
      <c r="E13" s="39">
        <f>+C13-D13</f>
        <v>800</v>
      </c>
    </row>
    <row r="14" spans="1:7" ht="31.5" x14ac:dyDescent="0.25">
      <c r="A14" s="46"/>
      <c r="B14" s="101" t="s">
        <v>571</v>
      </c>
      <c r="C14" s="37">
        <v>149000</v>
      </c>
      <c r="D14" s="38">
        <v>149000</v>
      </c>
      <c r="E14" s="39">
        <f t="shared" ref="E14" si="0">+C14-D14</f>
        <v>0</v>
      </c>
    </row>
    <row r="15" spans="1:7" ht="15.75" x14ac:dyDescent="0.25">
      <c r="A15" s="46"/>
      <c r="B15" s="101"/>
      <c r="C15" s="37"/>
      <c r="D15" s="38"/>
      <c r="E15" s="39"/>
    </row>
    <row r="16" spans="1:7" ht="15.75" x14ac:dyDescent="0.25">
      <c r="A16" s="46"/>
      <c r="B16" s="5" t="s">
        <v>31</v>
      </c>
      <c r="C16" s="51">
        <f>SUM(C13:C15)</f>
        <v>249000</v>
      </c>
      <c r="D16" s="51">
        <f>SUM(D13:D15)</f>
        <v>248200</v>
      </c>
      <c r="E16" s="228">
        <f>C16-D16</f>
        <v>800</v>
      </c>
    </row>
    <row r="17" spans="1:5" ht="15.75" x14ac:dyDescent="0.25">
      <c r="A17" s="46"/>
      <c r="B17" s="153" t="s">
        <v>40</v>
      </c>
      <c r="C17" s="37"/>
      <c r="D17" s="144">
        <f>D16/C16*100</f>
        <v>99.678714859437761</v>
      </c>
      <c r="E17" s="154" t="s">
        <v>39</v>
      </c>
    </row>
    <row r="19" spans="1:5" ht="15.75" x14ac:dyDescent="0.25">
      <c r="A19" s="552" t="s">
        <v>18</v>
      </c>
      <c r="B19" s="552"/>
      <c r="C19" s="552"/>
      <c r="D19" s="552"/>
      <c r="E19" s="552"/>
    </row>
    <row r="20" spans="1:5" ht="47.25" x14ac:dyDescent="0.25">
      <c r="A20" s="36">
        <v>118230</v>
      </c>
      <c r="B20" s="3" t="s">
        <v>569</v>
      </c>
      <c r="C20" s="426">
        <v>490422</v>
      </c>
      <c r="D20" s="426">
        <v>490422</v>
      </c>
      <c r="E20" s="31">
        <f>C20-D20</f>
        <v>0</v>
      </c>
    </row>
    <row r="21" spans="1:5" ht="15.75" x14ac:dyDescent="0.25">
      <c r="A21" s="41"/>
      <c r="B21" s="250" t="s">
        <v>19</v>
      </c>
      <c r="C21" s="428">
        <f>+C20</f>
        <v>490422</v>
      </c>
      <c r="D21" s="428">
        <f>+D20</f>
        <v>490422</v>
      </c>
      <c r="E21" s="35">
        <f>+C21-D21</f>
        <v>0</v>
      </c>
    </row>
    <row r="22" spans="1:5" ht="15.75" x14ac:dyDescent="0.25">
      <c r="A22" s="41"/>
      <c r="B22" s="250" t="s">
        <v>43</v>
      </c>
      <c r="C22" s="35">
        <f>+C21+C16</f>
        <v>739422</v>
      </c>
      <c r="D22" s="35">
        <f>+D21+D16</f>
        <v>738622</v>
      </c>
      <c r="E22" s="35">
        <f>+C22-D22</f>
        <v>800</v>
      </c>
    </row>
    <row r="23" spans="1:5" ht="15.75" x14ac:dyDescent="0.25">
      <c r="A23" s="41"/>
      <c r="B23" s="479" t="s">
        <v>40</v>
      </c>
      <c r="C23" s="68"/>
      <c r="D23" s="70">
        <f>D22/C22*100</f>
        <v>99.891807384686956</v>
      </c>
      <c r="E23" s="68" t="s">
        <v>39</v>
      </c>
    </row>
    <row r="24" spans="1:5" ht="15.75" x14ac:dyDescent="0.25">
      <c r="A24" s="497"/>
      <c r="B24" s="498"/>
      <c r="C24" s="499"/>
      <c r="D24" s="500"/>
      <c r="E24" s="499"/>
    </row>
    <row r="25" spans="1:5" ht="29.25" customHeight="1" x14ac:dyDescent="0.25">
      <c r="A25" s="548" t="s">
        <v>473</v>
      </c>
      <c r="B25" s="548"/>
      <c r="C25" s="548"/>
      <c r="D25" s="548"/>
      <c r="E25" s="548"/>
    </row>
    <row r="27" spans="1:5" x14ac:dyDescent="0.25">
      <c r="A27" t="s">
        <v>202</v>
      </c>
      <c r="C27" s="324"/>
      <c r="D27" s="158" t="s">
        <v>203</v>
      </c>
      <c r="E27" t="s">
        <v>204</v>
      </c>
    </row>
  </sheetData>
  <mergeCells count="8">
    <mergeCell ref="A8:C8"/>
    <mergeCell ref="A19:E19"/>
    <mergeCell ref="A25:E25"/>
    <mergeCell ref="D1:E1"/>
    <mergeCell ref="A4:E4"/>
    <mergeCell ref="A5:E5"/>
    <mergeCell ref="A6:E6"/>
    <mergeCell ref="A7:E7"/>
  </mergeCells>
  <pageMargins left="0.70866141732283472" right="0.70866141732283472" top="0.74803149606299213" bottom="0.74803149606299213" header="0.31496062992125984" footer="0.31496062992125984"/>
  <pageSetup paperSize="9" scale="75"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6"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турбота.1</vt:lpstr>
      <vt:lpstr>ДФТГ</vt:lpstr>
      <vt:lpstr>відшкод.пільг3</vt:lpstr>
      <vt:lpstr>соц.зах. ф.осіб</vt:lpstr>
      <vt:lpstr>інвалідність4</vt:lpstr>
      <vt:lpstr>соц.захист5</vt:lpstr>
      <vt:lpstr>харчування6</vt:lpstr>
      <vt:lpstr>освіта7</vt:lpstr>
      <vt:lpstr>забез.дітей.8</vt:lpstr>
      <vt:lpstr>культура9</vt:lpstr>
      <vt:lpstr>свята10</vt:lpstr>
      <vt:lpstr>спорт11</vt:lpstr>
      <vt:lpstr>молодь12</vt:lpstr>
      <vt:lpstr>ЦПМСД13</vt:lpstr>
      <vt:lpstr>КДЦ14</vt:lpstr>
      <vt:lpstr>мед.забез.пільг15</vt:lpstr>
      <vt:lpstr>підгот.зем.діл.16</vt:lpstr>
      <vt:lpstr>охор.пр.17</vt:lpstr>
      <vt:lpstr>зем.відн.18</vt:lpstr>
      <vt:lpstr>КП ПККП.19</vt:lpstr>
      <vt:lpstr>КП благоустрій20</vt:lpstr>
      <vt:lpstr>КП рекульт.21</vt:lpstr>
      <vt:lpstr>кап.буд.22</vt:lpstr>
      <vt:lpstr>підтри. ЗСУ25</vt:lpstr>
      <vt:lpstr>фін. під КОТЦК</vt:lpstr>
      <vt:lpstr>10--дер пож.рят. заг</vt:lpstr>
      <vt:lpstr>Під. В. Ч. 3077</vt:lpstr>
      <vt:lpstr>Фін. заб. Виш. РДА</vt:lpstr>
      <vt:lpstr>Шкільн. авт.</vt:lpstr>
      <vt:lpstr>МАСЦО26</vt:lpstr>
      <vt:lpstr>мат.резерв27</vt:lpstr>
      <vt:lpstr>роб. обсте. обє. пошк</vt:lpstr>
      <vt:lpstr>інформ28</vt:lpstr>
      <vt:lpstr>Енергозбе</vt:lpstr>
      <vt:lpstr>шкл. мистец</vt:lpstr>
      <vt:lpstr>благоустрій23</vt:lpstr>
      <vt:lpstr>КП ПККП фін.під.11</vt:lpstr>
      <vt:lpstr>Заб. обороноздатності</vt:lpstr>
      <vt:lpstr>містобудівна30</vt:lpstr>
      <vt:lpstr>сироти32</vt:lpstr>
      <vt:lpstr>Пол. офі. гром</vt:lpstr>
      <vt:lpstr>Бзе. Пет. грм.</vt: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User</cp:lastModifiedBy>
  <cp:lastPrinted>2024-02-21T14:10:43Z</cp:lastPrinted>
  <dcterms:created xsi:type="dcterms:W3CDTF">2023-01-05T08:10:41Z</dcterms:created>
  <dcterms:modified xsi:type="dcterms:W3CDTF">2024-03-01T12:45:49Z</dcterms:modified>
</cp:coreProperties>
</file>