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30" windowWidth="23835" windowHeight="10080" firstSheet="35" activeTab="42"/>
  </bookViews>
  <sheets>
    <sheet name="турбота.1" sheetId="36" r:id="rId1"/>
    <sheet name="ДФТГ" sheetId="43" r:id="rId2"/>
    <sheet name="відшкод.пільг3" sheetId="7" r:id="rId3"/>
    <sheet name="соц.зах. ф.осіб" sheetId="44" r:id="rId4"/>
    <sheet name="Захисника та захисниці" sheetId="54" r:id="rId5"/>
    <sheet name="забез.дітей.8" sheetId="37" r:id="rId6"/>
    <sheet name="інвалідність4" sheetId="5" r:id="rId7"/>
    <sheet name="соц.захист5" sheetId="39" r:id="rId8"/>
    <sheet name="харчування6" sheetId="19" r:id="rId9"/>
    <sheet name="освіта7" sheetId="21" r:id="rId10"/>
    <sheet name="КЗ Беригиня" sheetId="60" r:id="rId11"/>
    <sheet name="культура9" sheetId="22" r:id="rId12"/>
    <sheet name="свята10" sheetId="23" r:id="rId13"/>
    <sheet name="спорт11" sheetId="24" r:id="rId14"/>
    <sheet name="Під Спортсменів" sheetId="57" r:id="rId15"/>
    <sheet name="молодь12" sheetId="41" r:id="rId16"/>
    <sheet name="ЦПМСД13" sheetId="26" r:id="rId17"/>
    <sheet name="КДЦ14" sheetId="25" r:id="rId18"/>
    <sheet name="мед.забез.пільг15" sheetId="28" r:id="rId19"/>
    <sheet name="підгот.зем.діл.16" sheetId="10" r:id="rId20"/>
    <sheet name="охор.пр.17" sheetId="17" r:id="rId21"/>
    <sheet name="зем.відн.18" sheetId="27" r:id="rId22"/>
    <sheet name="КП ПККП.19" sheetId="18" r:id="rId23"/>
    <sheet name="КП благоустрій20" sheetId="20" r:id="rId24"/>
    <sheet name="КП рекульт.21" sheetId="33" r:id="rId25"/>
    <sheet name="кап.буд.22" sheetId="9" r:id="rId26"/>
    <sheet name="підтри. ЗСУ25" sheetId="29" r:id="rId27"/>
    <sheet name="10--дер пож.рят. заг" sheetId="49" r:id="rId28"/>
    <sheet name="Підтри. ДКСУ" sheetId="58" r:id="rId29"/>
    <sheet name="МАСЦО26" sheetId="6" r:id="rId30"/>
    <sheet name="мат.резерв27" sheetId="13" r:id="rId31"/>
    <sheet name="роб. обсте. обє. пошк" sheetId="47" r:id="rId32"/>
    <sheet name="інформ28" sheetId="11" r:id="rId33"/>
    <sheet name="Енергозбе" sheetId="45" r:id="rId34"/>
    <sheet name="шкл. мистец" sheetId="46" r:id="rId35"/>
    <sheet name="благоустрій23" sheetId="8" r:id="rId36"/>
    <sheet name="містобудівна30" sheetId="30" r:id="rId37"/>
    <sheet name="сироти32" sheetId="32" r:id="rId38"/>
    <sheet name="Пол. офі. гром" sheetId="42" r:id="rId39"/>
    <sheet name="Бзе. Пет. грм." sheetId="53" r:id="rId40"/>
    <sheet name="Заб. охорони пуб. порядку" sheetId="56" r:id="rId41"/>
    <sheet name="Зах. безпри. тварин" sheetId="55" r:id="rId42"/>
    <sheet name="сплата членських внесків" sheetId="59" r:id="rId43"/>
    <sheet name="Лист1" sheetId="61" r:id="rId44"/>
    <sheet name="Лист2" sheetId="62" r:id="rId45"/>
  </sheet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3" i="21" l="1"/>
  <c r="E129" i="21" l="1"/>
  <c r="D129" i="21"/>
  <c r="F117" i="21"/>
  <c r="F118" i="21"/>
  <c r="F119" i="21"/>
  <c r="F120" i="21"/>
  <c r="F121" i="21"/>
  <c r="F113" i="21" l="1"/>
  <c r="F114" i="21"/>
  <c r="F115" i="21"/>
  <c r="F116" i="21"/>
  <c r="F122" i="21"/>
  <c r="E85" i="9" l="1"/>
  <c r="E86" i="9"/>
  <c r="E87" i="9"/>
  <c r="E88" i="9"/>
  <c r="E89" i="9"/>
  <c r="E90" i="9"/>
  <c r="E91" i="9"/>
  <c r="E70" i="9"/>
  <c r="E71" i="9"/>
  <c r="E72" i="9"/>
  <c r="E73" i="9"/>
  <c r="E74" i="9"/>
  <c r="E75" i="9"/>
  <c r="E69" i="9"/>
  <c r="E63" i="9"/>
  <c r="E64" i="9"/>
  <c r="E65" i="9"/>
  <c r="E66" i="9"/>
  <c r="E61" i="9"/>
  <c r="E62" i="9"/>
  <c r="E67" i="9"/>
  <c r="E60" i="9"/>
  <c r="E55" i="9"/>
  <c r="E56" i="9"/>
  <c r="E57" i="9"/>
  <c r="E58" i="9"/>
  <c r="E54" i="9"/>
  <c r="D59" i="9"/>
  <c r="C59" i="9"/>
  <c r="E48" i="9"/>
  <c r="E45" i="9"/>
  <c r="E43" i="9"/>
  <c r="E44" i="9"/>
  <c r="E42" i="9"/>
  <c r="E41" i="9"/>
  <c r="E59" i="9" l="1"/>
  <c r="E28" i="9" l="1"/>
  <c r="E29" i="9"/>
  <c r="E30" i="9"/>
  <c r="E31" i="9"/>
  <c r="E32" i="9"/>
  <c r="D25" i="9"/>
  <c r="E18" i="9"/>
  <c r="E19" i="9"/>
  <c r="E20" i="9"/>
  <c r="E21" i="9"/>
  <c r="E17" i="9"/>
  <c r="E16" i="9"/>
  <c r="E15" i="9"/>
  <c r="E49" i="8"/>
  <c r="G10" i="8" l="1"/>
  <c r="G11" i="8"/>
  <c r="G12" i="8"/>
  <c r="G13" i="8"/>
  <c r="G14" i="8"/>
  <c r="G15" i="8"/>
  <c r="G16" i="8"/>
  <c r="G34" i="8" s="1"/>
  <c r="G17" i="8"/>
  <c r="G18" i="8"/>
  <c r="G19" i="8"/>
  <c r="G20" i="8"/>
  <c r="G21" i="8"/>
  <c r="G22" i="8"/>
  <c r="G23" i="8"/>
  <c r="G24" i="8"/>
  <c r="G25" i="8"/>
  <c r="G26" i="8"/>
  <c r="G27" i="8"/>
  <c r="G28" i="8"/>
  <c r="G29" i="8"/>
  <c r="G30" i="8"/>
  <c r="G31" i="8"/>
  <c r="G32" i="8"/>
  <c r="G33" i="8"/>
  <c r="G9" i="8"/>
  <c r="E34" i="8"/>
  <c r="G36" i="8"/>
  <c r="E15" i="60"/>
  <c r="D38" i="60"/>
  <c r="E37" i="60"/>
  <c r="D37" i="60"/>
  <c r="C37" i="60"/>
  <c r="D35" i="60" l="1"/>
  <c r="C35" i="60"/>
  <c r="E33" i="60"/>
  <c r="E29" i="60"/>
  <c r="D28" i="60"/>
  <c r="C28" i="60"/>
  <c r="D20" i="60"/>
  <c r="C20" i="60"/>
  <c r="C30" i="60" s="1"/>
  <c r="D14" i="60"/>
  <c r="C14" i="60"/>
  <c r="E13" i="60"/>
  <c r="E12" i="60"/>
  <c r="E14" i="60" s="1"/>
  <c r="C9" i="60"/>
  <c r="D21" i="59"/>
  <c r="C21" i="59"/>
  <c r="E20" i="59"/>
  <c r="D16" i="59"/>
  <c r="C9" i="59" s="1"/>
  <c r="C16" i="59"/>
  <c r="C22" i="59" s="1"/>
  <c r="E14" i="59"/>
  <c r="E13" i="59"/>
  <c r="D13" i="58"/>
  <c r="D7" i="58" s="1"/>
  <c r="C13" i="58"/>
  <c r="E10" i="58"/>
  <c r="D36" i="60" l="1"/>
  <c r="E28" i="60"/>
  <c r="D30" i="60"/>
  <c r="D31" i="60" s="1"/>
  <c r="E20" i="60"/>
  <c r="E30" i="60" s="1"/>
  <c r="E35" i="60"/>
  <c r="D17" i="59"/>
  <c r="D22" i="59"/>
  <c r="E22" i="59" s="1"/>
  <c r="E16" i="59"/>
  <c r="D23" i="59"/>
  <c r="E21" i="59"/>
  <c r="C10" i="59"/>
  <c r="D8" i="59" s="1"/>
  <c r="E13" i="58"/>
  <c r="D14" i="58"/>
  <c r="C8" i="60" l="1"/>
  <c r="D7" i="60" s="1"/>
  <c r="D12" i="57"/>
  <c r="C12" i="57"/>
  <c r="E11" i="57"/>
  <c r="E10" i="57"/>
  <c r="D21" i="56"/>
  <c r="C10" i="56" s="1"/>
  <c r="C21" i="56"/>
  <c r="E21" i="56" s="1"/>
  <c r="E20" i="56"/>
  <c r="D16" i="56"/>
  <c r="C9" i="56" s="1"/>
  <c r="C16" i="56"/>
  <c r="E14" i="56"/>
  <c r="E13" i="56"/>
  <c r="E12" i="57" l="1"/>
  <c r="D13" i="57"/>
  <c r="D7" i="57"/>
  <c r="E16" i="56"/>
  <c r="D8" i="56"/>
  <c r="D17" i="56"/>
  <c r="D22" i="56"/>
  <c r="C22" i="56"/>
  <c r="D21" i="55"/>
  <c r="C21" i="55"/>
  <c r="E20" i="55"/>
  <c r="D16" i="55"/>
  <c r="C9" i="55" s="1"/>
  <c r="C16" i="55"/>
  <c r="E14" i="55"/>
  <c r="E13" i="55"/>
  <c r="F15" i="30"/>
  <c r="F16" i="30"/>
  <c r="F17" i="30"/>
  <c r="F14" i="30"/>
  <c r="E17" i="30"/>
  <c r="D17" i="30"/>
  <c r="C9" i="27"/>
  <c r="C12" i="27"/>
  <c r="C11" i="27"/>
  <c r="D35" i="42"/>
  <c r="C34" i="42"/>
  <c r="D33" i="42"/>
  <c r="E33" i="42"/>
  <c r="C33" i="42"/>
  <c r="D32" i="42"/>
  <c r="E32" i="42"/>
  <c r="C32" i="42"/>
  <c r="D29" i="42"/>
  <c r="C29" i="42"/>
  <c r="E22" i="56" l="1"/>
  <c r="D23" i="56"/>
  <c r="E16" i="55"/>
  <c r="D22" i="55"/>
  <c r="D17" i="55"/>
  <c r="C22" i="55"/>
  <c r="E22" i="55" s="1"/>
  <c r="E21" i="55"/>
  <c r="C10" i="55"/>
  <c r="D8" i="55" s="1"/>
  <c r="D22" i="42"/>
  <c r="D17" i="42"/>
  <c r="C17" i="42"/>
  <c r="C22" i="42" s="1"/>
  <c r="D21" i="42"/>
  <c r="E21" i="42"/>
  <c r="C21" i="42"/>
  <c r="E20" i="42"/>
  <c r="D23" i="53"/>
  <c r="D23" i="55" l="1"/>
  <c r="F11" i="30" l="1"/>
  <c r="F12" i="30"/>
  <c r="F13" i="30"/>
  <c r="D7" i="46"/>
  <c r="C9" i="46"/>
  <c r="D36" i="46"/>
  <c r="E30" i="46"/>
  <c r="E31" i="46"/>
  <c r="E32" i="46"/>
  <c r="E33" i="46"/>
  <c r="E34" i="46"/>
  <c r="E35" i="46"/>
  <c r="E29" i="46"/>
  <c r="D35" i="46"/>
  <c r="C35" i="46"/>
  <c r="D34" i="46"/>
  <c r="C34" i="46"/>
  <c r="C27" i="46"/>
  <c r="D27" i="46" l="1"/>
  <c r="E18" i="46"/>
  <c r="E14" i="6" l="1"/>
  <c r="D14" i="6"/>
  <c r="F13" i="6"/>
  <c r="D10" i="13"/>
  <c r="D9" i="13"/>
  <c r="C19" i="13"/>
  <c r="D18" i="13"/>
  <c r="E18" i="13" s="1"/>
  <c r="C18" i="13"/>
  <c r="E17" i="13"/>
  <c r="E16" i="13"/>
  <c r="D14" i="13"/>
  <c r="E14" i="13"/>
  <c r="E13" i="13"/>
  <c r="C14" i="13"/>
  <c r="F12" i="6"/>
  <c r="E11" i="49"/>
  <c r="E12" i="49"/>
  <c r="E10" i="49"/>
  <c r="E34" i="29"/>
  <c r="D34" i="29"/>
  <c r="E40" i="29"/>
  <c r="D7" i="29" s="1"/>
  <c r="E38" i="29"/>
  <c r="D38" i="29"/>
  <c r="F35" i="29"/>
  <c r="F37" i="29"/>
  <c r="F39" i="29"/>
  <c r="F30" i="29"/>
  <c r="F31" i="29"/>
  <c r="F32" i="29"/>
  <c r="F33" i="29"/>
  <c r="F15" i="29"/>
  <c r="F16" i="29"/>
  <c r="F17" i="29"/>
  <c r="F18" i="29"/>
  <c r="F19" i="29"/>
  <c r="F20" i="29"/>
  <c r="F21" i="29"/>
  <c r="F22" i="29"/>
  <c r="F23" i="29"/>
  <c r="F24" i="29"/>
  <c r="F25" i="29"/>
  <c r="F26" i="29"/>
  <c r="F27" i="29"/>
  <c r="F28" i="29"/>
  <c r="F29" i="29"/>
  <c r="F13" i="29"/>
  <c r="D19" i="13" l="1"/>
  <c r="D7" i="13" s="1"/>
  <c r="E19" i="13"/>
  <c r="D20" i="13"/>
  <c r="F38" i="29"/>
  <c r="F34" i="29"/>
  <c r="D40" i="29"/>
  <c r="F40" i="29"/>
  <c r="G14" i="20" l="1"/>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13" i="20"/>
  <c r="F44" i="20"/>
  <c r="E44" i="20"/>
  <c r="F43" i="20"/>
  <c r="E43" i="20"/>
  <c r="F42" i="20"/>
  <c r="E42" i="20"/>
  <c r="F41" i="20"/>
  <c r="E41" i="20"/>
  <c r="F40" i="20"/>
  <c r="E40" i="20"/>
  <c r="F39" i="20"/>
  <c r="E39" i="20"/>
  <c r="F38" i="20"/>
  <c r="E38" i="20"/>
  <c r="F37" i="20"/>
  <c r="E37" i="20"/>
  <c r="F36" i="20"/>
  <c r="E36" i="20"/>
  <c r="F35" i="20"/>
  <c r="E35" i="20"/>
  <c r="F34" i="20"/>
  <c r="E34" i="20"/>
  <c r="F33" i="20"/>
  <c r="E33" i="20"/>
  <c r="F32" i="20"/>
  <c r="E32" i="20"/>
  <c r="F31" i="20"/>
  <c r="E31" i="20"/>
  <c r="F30" i="20"/>
  <c r="E30" i="20"/>
  <c r="F29" i="20"/>
  <c r="E29" i="20"/>
  <c r="F28" i="20"/>
  <c r="E28" i="20"/>
  <c r="F27" i="20"/>
  <c r="E27" i="20"/>
  <c r="F26" i="20"/>
  <c r="E26" i="20"/>
  <c r="F25" i="20"/>
  <c r="E25" i="20"/>
  <c r="F24" i="20"/>
  <c r="E24" i="20"/>
  <c r="C24" i="20"/>
  <c r="F23" i="20"/>
  <c r="E23" i="20"/>
  <c r="C23" i="20"/>
  <c r="F22" i="20"/>
  <c r="E22" i="20"/>
  <c r="F21" i="20"/>
  <c r="E21" i="20"/>
  <c r="C21" i="20"/>
  <c r="F20" i="20"/>
  <c r="E20" i="20"/>
  <c r="C20" i="20"/>
  <c r="F19" i="20"/>
  <c r="E19" i="20"/>
  <c r="C19" i="20"/>
  <c r="F18" i="20"/>
  <c r="E18" i="20"/>
  <c r="C18" i="20"/>
  <c r="F17" i="20"/>
  <c r="E17" i="20"/>
  <c r="F16" i="20"/>
  <c r="E16" i="20"/>
  <c r="F15" i="20"/>
  <c r="E15" i="20"/>
  <c r="F14" i="20"/>
  <c r="E14" i="20"/>
  <c r="F13" i="20"/>
  <c r="E13" i="20"/>
  <c r="G48" i="18" l="1"/>
  <c r="F48" i="18"/>
  <c r="E48" i="18"/>
  <c r="G47" i="18"/>
  <c r="G33" i="18"/>
  <c r="G34" i="18"/>
  <c r="G35" i="18"/>
  <c r="G36" i="18"/>
  <c r="D21" i="27" l="1"/>
  <c r="D22" i="27" s="1"/>
  <c r="C21" i="27"/>
  <c r="E17" i="27"/>
  <c r="E18" i="27"/>
  <c r="E20" i="27"/>
  <c r="E19" i="27"/>
  <c r="D20" i="27"/>
  <c r="C20" i="27"/>
  <c r="C18" i="27"/>
  <c r="E21" i="27" l="1"/>
  <c r="D10" i="28"/>
  <c r="D30" i="24" l="1"/>
  <c r="D7" i="23"/>
  <c r="E11" i="23"/>
  <c r="E10" i="23"/>
  <c r="D33" i="19" l="1"/>
  <c r="C33" i="19"/>
  <c r="D29" i="19"/>
  <c r="D34" i="19" s="1"/>
  <c r="C29" i="19"/>
  <c r="C34" i="19" s="1"/>
  <c r="E31" i="19"/>
  <c r="E33" i="19" s="1"/>
  <c r="D23" i="19"/>
  <c r="C23" i="19"/>
  <c r="E19" i="19"/>
  <c r="E20" i="19"/>
  <c r="E23" i="19" s="1"/>
  <c r="E21" i="19"/>
  <c r="E18" i="19"/>
  <c r="E27" i="19"/>
  <c r="E29" i="19" s="1"/>
  <c r="E34" i="19" s="1"/>
  <c r="D53" i="39"/>
  <c r="E53" i="39" s="1"/>
  <c r="C53" i="39"/>
  <c r="E44" i="39"/>
  <c r="D35" i="19" l="1"/>
  <c r="C9" i="19"/>
  <c r="E20" i="37" l="1"/>
  <c r="E19" i="37"/>
  <c r="E18" i="37"/>
  <c r="E21" i="37"/>
  <c r="E16" i="37"/>
  <c r="E17" i="37"/>
  <c r="E15" i="37"/>
  <c r="E13" i="37"/>
  <c r="F19" i="54" l="1"/>
  <c r="F7" i="54" s="1"/>
  <c r="D19" i="54"/>
  <c r="F20" i="54" s="1"/>
  <c r="G18" i="54"/>
  <c r="G17" i="54"/>
  <c r="G16" i="54"/>
  <c r="G15" i="54"/>
  <c r="G14" i="54"/>
  <c r="G13" i="54"/>
  <c r="G12" i="54"/>
  <c r="G11" i="54"/>
  <c r="G10" i="54"/>
  <c r="G9" i="54"/>
  <c r="G19" i="54" l="1"/>
  <c r="F48" i="8" l="1"/>
  <c r="E48" i="8"/>
  <c r="G48" i="8" s="1"/>
  <c r="G45" i="8"/>
  <c r="G46" i="8"/>
  <c r="G44" i="8"/>
  <c r="G43" i="8" l="1"/>
  <c r="G47" i="8" s="1"/>
  <c r="G37" i="8"/>
  <c r="F38" i="8"/>
  <c r="E38" i="8"/>
  <c r="E39" i="8" s="1"/>
  <c r="D21" i="53"/>
  <c r="C21" i="53"/>
  <c r="E20" i="53"/>
  <c r="D16" i="53"/>
  <c r="C16" i="53"/>
  <c r="E14" i="53"/>
  <c r="E13" i="53"/>
  <c r="E15" i="42"/>
  <c r="E16" i="42"/>
  <c r="E19" i="42"/>
  <c r="E14" i="42"/>
  <c r="E17" i="42" l="1"/>
  <c r="G38" i="8"/>
  <c r="D17" i="53"/>
  <c r="C22" i="53"/>
  <c r="E16" i="53"/>
  <c r="D22" i="53"/>
  <c r="C9" i="53"/>
  <c r="C10" i="53"/>
  <c r="E21" i="53"/>
  <c r="C10" i="42"/>
  <c r="E22" i="53" l="1"/>
  <c r="D8" i="53"/>
  <c r="D23" i="42"/>
  <c r="C11" i="42"/>
  <c r="D9" i="42" s="1"/>
  <c r="E26" i="42"/>
  <c r="E29" i="42" l="1"/>
  <c r="D34" i="42"/>
  <c r="E34" i="42" s="1"/>
  <c r="E22" i="42"/>
  <c r="D13" i="49"/>
  <c r="D7" i="49" s="1"/>
  <c r="C13" i="49"/>
  <c r="D14" i="49" l="1"/>
  <c r="E13" i="49"/>
  <c r="D14" i="47" l="1"/>
  <c r="C8" i="47" s="1"/>
  <c r="E13" i="47"/>
  <c r="E12" i="47"/>
  <c r="D18" i="47"/>
  <c r="D19" i="47" s="1"/>
  <c r="C18" i="47"/>
  <c r="C19" i="47" s="1"/>
  <c r="E18" i="47"/>
  <c r="E19" i="47" s="1"/>
  <c r="C14" i="47"/>
  <c r="E26" i="46"/>
  <c r="D25" i="46"/>
  <c r="C25" i="46"/>
  <c r="D17" i="46"/>
  <c r="C17" i="46"/>
  <c r="D20" i="45"/>
  <c r="E20" i="45"/>
  <c r="C20" i="45"/>
  <c r="D18" i="45"/>
  <c r="C18" i="45"/>
  <c r="E14" i="45"/>
  <c r="E18" i="45" s="1"/>
  <c r="D13" i="45"/>
  <c r="C13" i="45"/>
  <c r="E10" i="45"/>
  <c r="E11" i="45"/>
  <c r="E12" i="45"/>
  <c r="E9" i="45"/>
  <c r="C13" i="11"/>
  <c r="E18" i="30" l="1"/>
  <c r="D22" i="45"/>
  <c r="C22" i="45"/>
  <c r="E22" i="45" s="1"/>
  <c r="C20" i="47"/>
  <c r="E14" i="47"/>
  <c r="E17" i="46"/>
  <c r="C8" i="46"/>
  <c r="E25" i="46"/>
  <c r="E27" i="46" s="1"/>
  <c r="D7" i="47"/>
  <c r="D20" i="47"/>
  <c r="C9" i="47"/>
  <c r="D15" i="47"/>
  <c r="E13" i="45"/>
  <c r="D23" i="45"/>
  <c r="D7" i="45"/>
  <c r="E96" i="9"/>
  <c r="E95" i="9"/>
  <c r="D97" i="9"/>
  <c r="C97" i="9"/>
  <c r="D94" i="9"/>
  <c r="C94" i="9"/>
  <c r="E94" i="9"/>
  <c r="E83" i="9"/>
  <c r="C92" i="9"/>
  <c r="D80" i="9"/>
  <c r="E78" i="9"/>
  <c r="E79" i="9"/>
  <c r="E77" i="9"/>
  <c r="C80" i="9"/>
  <c r="D76" i="9"/>
  <c r="C76" i="9"/>
  <c r="D68" i="9"/>
  <c r="C68" i="9"/>
  <c r="D47" i="9"/>
  <c r="C47" i="9"/>
  <c r="D44" i="9"/>
  <c r="C44" i="9"/>
  <c r="E40" i="9"/>
  <c r="E36" i="9"/>
  <c r="E37" i="9"/>
  <c r="D39" i="9"/>
  <c r="C39" i="9"/>
  <c r="E27" i="9"/>
  <c r="E33" i="9"/>
  <c r="E34" i="9"/>
  <c r="E35" i="9"/>
  <c r="E12" i="9"/>
  <c r="E13" i="9"/>
  <c r="E14" i="9"/>
  <c r="E11" i="9"/>
  <c r="E22" i="9"/>
  <c r="E23" i="9"/>
  <c r="E24" i="9"/>
  <c r="C25" i="9"/>
  <c r="E10" i="9"/>
  <c r="E14" i="32"/>
  <c r="E15" i="32"/>
  <c r="E16" i="32"/>
  <c r="E17" i="32"/>
  <c r="E20" i="47" l="1"/>
  <c r="D21" i="47"/>
  <c r="E76" i="9"/>
  <c r="E97" i="9"/>
  <c r="E80" i="9"/>
  <c r="E47" i="9"/>
  <c r="E68" i="9"/>
  <c r="E39" i="9"/>
  <c r="E25" i="9"/>
  <c r="D18" i="32"/>
  <c r="C18" i="32"/>
  <c r="E13" i="32"/>
  <c r="E12" i="32"/>
  <c r="F129" i="21"/>
  <c r="F128" i="21"/>
  <c r="F127" i="21"/>
  <c r="F126" i="21"/>
  <c r="E123" i="21"/>
  <c r="D123" i="21"/>
  <c r="D130" i="21" s="1"/>
  <c r="F108" i="21"/>
  <c r="F109" i="21"/>
  <c r="F110" i="21"/>
  <c r="F111" i="21"/>
  <c r="F112" i="21"/>
  <c r="F124" i="21"/>
  <c r="F125" i="21"/>
  <c r="E130" i="21" l="1"/>
  <c r="F123" i="21"/>
  <c r="F130" i="21" s="1"/>
  <c r="F101" i="21"/>
  <c r="D10" i="21" l="1"/>
  <c r="E100" i="21"/>
  <c r="D100" i="21"/>
  <c r="F99" i="21"/>
  <c r="F98" i="21"/>
  <c r="F76" i="21" l="1"/>
  <c r="F64" i="21" l="1"/>
  <c r="F63" i="21"/>
  <c r="F60" i="21"/>
  <c r="F57" i="21"/>
  <c r="F58" i="21"/>
  <c r="F56" i="21"/>
  <c r="F100" i="21" l="1"/>
  <c r="D59" i="21"/>
  <c r="F16" i="21"/>
  <c r="D61" i="21" l="1"/>
  <c r="D103" i="21" s="1"/>
  <c r="D131" i="21" s="1"/>
  <c r="E52" i="18"/>
  <c r="F52" i="18"/>
  <c r="G52" i="18"/>
  <c r="D27" i="33" l="1"/>
  <c r="C9" i="33" s="1"/>
  <c r="D26" i="33"/>
  <c r="C26" i="33"/>
  <c r="C27" i="33" s="1"/>
  <c r="E19" i="33"/>
  <c r="C23" i="33"/>
  <c r="E14" i="33"/>
  <c r="G48" i="20" l="1"/>
  <c r="G49" i="20"/>
  <c r="G50" i="20"/>
  <c r="G51" i="20"/>
  <c r="G52" i="20"/>
  <c r="G47" i="20"/>
  <c r="E45" i="20" l="1"/>
  <c r="D43" i="25" l="1"/>
  <c r="C43" i="25"/>
  <c r="E42" i="25"/>
  <c r="E43" i="25" l="1"/>
  <c r="D44" i="25" l="1"/>
  <c r="C41" i="25"/>
  <c r="C44" i="25" s="1"/>
  <c r="G46" i="18"/>
  <c r="E45" i="18"/>
  <c r="G44" i="18"/>
  <c r="G14" i="18"/>
  <c r="E44" i="25" l="1"/>
  <c r="F43" i="18"/>
  <c r="F53" i="18" s="1"/>
  <c r="E9" i="18" l="1"/>
  <c r="E43" i="18"/>
  <c r="E53" i="18" s="1"/>
  <c r="F27" i="18" l="1"/>
  <c r="F30" i="18" s="1"/>
  <c r="E27" i="18"/>
  <c r="E30" i="18" s="1"/>
  <c r="E50" i="18" s="1"/>
  <c r="G28" i="18"/>
  <c r="G29" i="18"/>
  <c r="F50" i="18" l="1"/>
  <c r="F55" i="18" s="1"/>
  <c r="F54" i="18"/>
  <c r="E54" i="18"/>
  <c r="G27" i="18"/>
  <c r="E16" i="27" l="1"/>
  <c r="E12" i="24" l="1"/>
  <c r="E13" i="24"/>
  <c r="E14" i="24" s="1"/>
  <c r="C14" i="24"/>
  <c r="D14" i="24"/>
  <c r="C9" i="25"/>
  <c r="E39" i="25" l="1"/>
  <c r="E41" i="25" s="1"/>
  <c r="E29" i="25" l="1"/>
  <c r="E27" i="25"/>
  <c r="E16" i="25"/>
  <c r="E14" i="25"/>
  <c r="E15" i="25"/>
  <c r="E17" i="25"/>
  <c r="E13" i="25"/>
  <c r="E25" i="25" l="1"/>
  <c r="D57" i="39" l="1"/>
  <c r="E55" i="39"/>
  <c r="D67" i="39"/>
  <c r="E34" i="39" l="1"/>
  <c r="E20" i="39"/>
  <c r="C22" i="37" l="1"/>
  <c r="G14" i="36" l="1"/>
  <c r="G13" i="36"/>
  <c r="G12" i="36"/>
  <c r="G11" i="36"/>
  <c r="G10" i="36"/>
  <c r="G9" i="36"/>
  <c r="E35" i="26" l="1"/>
  <c r="C34" i="26"/>
  <c r="E29" i="26"/>
  <c r="E24" i="26"/>
  <c r="D28" i="26"/>
  <c r="C28" i="26"/>
  <c r="E28" i="26" s="1"/>
  <c r="D39" i="22" l="1"/>
  <c r="B35" i="22"/>
  <c r="B37" i="22" s="1"/>
  <c r="D22" i="22"/>
  <c r="B21" i="22"/>
  <c r="D12" i="22"/>
  <c r="C16" i="41"/>
  <c r="C13" i="41"/>
  <c r="E33" i="24" l="1"/>
  <c r="C9" i="24"/>
  <c r="D35" i="24"/>
  <c r="C35" i="24"/>
  <c r="C28" i="24"/>
  <c r="C20" i="24"/>
  <c r="D20" i="24"/>
  <c r="D36" i="24" l="1"/>
  <c r="E35" i="24"/>
  <c r="C30" i="24"/>
  <c r="G9" i="44"/>
  <c r="F12" i="7"/>
  <c r="G10" i="7"/>
  <c r="G9" i="7"/>
  <c r="G10" i="43"/>
  <c r="G9" i="43"/>
  <c r="F17" i="44" l="1"/>
  <c r="D17" i="44"/>
  <c r="G16" i="44"/>
  <c r="G15" i="44"/>
  <c r="G14" i="44"/>
  <c r="G13" i="44"/>
  <c r="G12" i="44"/>
  <c r="G11" i="44"/>
  <c r="G10" i="44"/>
  <c r="F17" i="43"/>
  <c r="F7" i="43" s="1"/>
  <c r="D17" i="43"/>
  <c r="G16" i="43"/>
  <c r="G15" i="43"/>
  <c r="G14" i="43"/>
  <c r="G13" i="43"/>
  <c r="G12" i="43"/>
  <c r="G11" i="43"/>
  <c r="F18" i="44" l="1"/>
  <c r="F7" i="44"/>
  <c r="F18" i="43"/>
  <c r="G17" i="44"/>
  <c r="G17" i="43"/>
  <c r="C18" i="25"/>
  <c r="D18" i="25"/>
  <c r="D12" i="7" l="1"/>
  <c r="C18" i="41"/>
  <c r="E17" i="41"/>
  <c r="D16" i="41"/>
  <c r="E16" i="41" s="1"/>
  <c r="D13" i="41"/>
  <c r="D64" i="39"/>
  <c r="C64" i="39"/>
  <c r="H62" i="39"/>
  <c r="C57" i="39"/>
  <c r="E57" i="39"/>
  <c r="E51" i="39"/>
  <c r="E49" i="39"/>
  <c r="E45" i="39"/>
  <c r="D19" i="39"/>
  <c r="C19" i="39"/>
  <c r="E18" i="39"/>
  <c r="E17" i="39"/>
  <c r="E16" i="39"/>
  <c r="E15" i="39"/>
  <c r="D14" i="39"/>
  <c r="C14" i="39"/>
  <c r="E13" i="39"/>
  <c r="E12" i="39"/>
  <c r="C65" i="39" l="1"/>
  <c r="D65" i="39"/>
  <c r="C9" i="39"/>
  <c r="E14" i="39"/>
  <c r="E19" i="39"/>
  <c r="D18" i="41"/>
  <c r="D19" i="41" s="1"/>
  <c r="C67" i="39"/>
  <c r="D68" i="39" s="1"/>
  <c r="E13" i="41"/>
  <c r="E18" i="41" s="1"/>
  <c r="C8" i="39" l="1"/>
  <c r="C8" i="41"/>
  <c r="E67" i="39"/>
  <c r="C66" i="39"/>
  <c r="D34" i="26" l="1"/>
  <c r="E9" i="28"/>
  <c r="D23" i="25"/>
  <c r="D36" i="25" s="1"/>
  <c r="C23" i="25"/>
  <c r="C36" i="25" s="1"/>
  <c r="D22" i="37"/>
  <c r="C8" i="37" s="1"/>
  <c r="E23" i="25" l="1"/>
  <c r="E22" i="37"/>
  <c r="D23" i="37"/>
  <c r="F105" i="21" l="1"/>
  <c r="F106" i="21"/>
  <c r="F107" i="21"/>
  <c r="C35" i="22" l="1"/>
  <c r="C21" i="22"/>
  <c r="D21" i="22" l="1"/>
  <c r="C37" i="22"/>
  <c r="D28" i="24"/>
  <c r="E28" i="24" s="1"/>
  <c r="B8" i="22" l="1"/>
  <c r="D31" i="24"/>
  <c r="E20" i="24"/>
  <c r="E59" i="21" l="1"/>
  <c r="F59" i="21" l="1"/>
  <c r="E61" i="21"/>
  <c r="F61" i="21" s="1"/>
  <c r="E103" i="21" l="1"/>
  <c r="F103" i="21"/>
  <c r="F131" i="21" s="1"/>
  <c r="E25" i="33"/>
  <c r="E22" i="33"/>
  <c r="D9" i="21" l="1"/>
  <c r="E131" i="21"/>
  <c r="E132" i="21" s="1"/>
  <c r="G15" i="36"/>
  <c r="G16" i="36"/>
  <c r="D17" i="36"/>
  <c r="F17" i="36" l="1"/>
  <c r="F7" i="36" s="1"/>
  <c r="D92" i="9"/>
  <c r="E92" i="9" s="1"/>
  <c r="E82" i="9"/>
  <c r="E84" i="9"/>
  <c r="E81" i="9"/>
  <c r="E100" i="9"/>
  <c r="E101" i="9"/>
  <c r="E102" i="9"/>
  <c r="E103" i="9"/>
  <c r="D53" i="9"/>
  <c r="C53" i="9"/>
  <c r="G17" i="36" l="1"/>
  <c r="F18" i="36"/>
  <c r="E53" i="9"/>
  <c r="C28" i="33"/>
  <c r="D23" i="33"/>
  <c r="E13" i="33"/>
  <c r="E12" i="33"/>
  <c r="C8" i="33" l="1"/>
  <c r="D7" i="33" s="1"/>
  <c r="D28" i="33"/>
  <c r="D29" i="33" s="1"/>
  <c r="E26" i="33"/>
  <c r="E27" i="33" s="1"/>
  <c r="E23" i="33"/>
  <c r="E18" i="32"/>
  <c r="E28" i="33" l="1"/>
  <c r="D19" i="32"/>
  <c r="C8" i="32"/>
  <c r="F7" i="7" l="1"/>
  <c r="G12" i="7" l="1"/>
  <c r="F13" i="7"/>
  <c r="E39" i="26" l="1"/>
  <c r="D22" i="26"/>
  <c r="C22" i="26"/>
  <c r="C36" i="26" s="1"/>
  <c r="D16" i="26"/>
  <c r="C16" i="26"/>
  <c r="E15" i="27"/>
  <c r="D36" i="26" l="1"/>
  <c r="D7" i="30"/>
  <c r="F10" i="30"/>
  <c r="D7" i="28" l="1"/>
  <c r="C10" i="28"/>
  <c r="D11" i="28" l="1"/>
  <c r="E10" i="28"/>
  <c r="E8" i="5"/>
  <c r="D9" i="5"/>
  <c r="C9" i="5"/>
  <c r="D19" i="25"/>
  <c r="D45" i="25" s="1"/>
  <c r="D37" i="25" l="1"/>
  <c r="C8" i="25" s="1"/>
  <c r="D7" i="25" s="1"/>
  <c r="E9" i="5"/>
  <c r="E18" i="25"/>
  <c r="E19" i="25" s="1"/>
  <c r="C19" i="25"/>
  <c r="C45" i="25" s="1"/>
  <c r="D46" i="25" s="1"/>
  <c r="D10" i="5"/>
  <c r="D40" i="26"/>
  <c r="D41" i="26" s="1"/>
  <c r="D42" i="26" s="1"/>
  <c r="C40" i="26"/>
  <c r="C41" i="26" s="1"/>
  <c r="C42" i="26" s="1"/>
  <c r="E40" i="26"/>
  <c r="E41" i="26" s="1"/>
  <c r="C8" i="26"/>
  <c r="E34" i="26"/>
  <c r="E23" i="26"/>
  <c r="E21" i="26"/>
  <c r="E20" i="26"/>
  <c r="E19" i="26"/>
  <c r="E18" i="26"/>
  <c r="E15" i="26"/>
  <c r="E14" i="26"/>
  <c r="C37" i="25" l="1"/>
  <c r="D43" i="26"/>
  <c r="E36" i="25"/>
  <c r="E45" i="25" s="1"/>
  <c r="E22" i="26"/>
  <c r="E16" i="26"/>
  <c r="C9" i="26"/>
  <c r="E36" i="26" l="1"/>
  <c r="E42" i="26" s="1"/>
  <c r="E37" i="25"/>
  <c r="E38" i="9"/>
  <c r="E98" i="9"/>
  <c r="E99" i="9"/>
  <c r="E26" i="9"/>
  <c r="C8" i="24" l="1"/>
  <c r="D7" i="24" s="1"/>
  <c r="E29" i="24"/>
  <c r="E30" i="24" s="1"/>
  <c r="D12" i="23"/>
  <c r="C12" i="23"/>
  <c r="D36" i="22"/>
  <c r="E12" i="23" l="1"/>
  <c r="D13" i="23"/>
  <c r="D35" i="22"/>
  <c r="D37" i="22" s="1"/>
  <c r="D11" i="17" l="1"/>
  <c r="D7" i="17" s="1"/>
  <c r="C11" i="17"/>
  <c r="C12" i="17" l="1"/>
  <c r="F53" i="20"/>
  <c r="E10" i="20" s="1"/>
  <c r="F14" i="21" l="1"/>
  <c r="E53" i="20" l="1"/>
  <c r="F15" i="21" l="1"/>
  <c r="C41" i="22"/>
  <c r="B41" i="22"/>
  <c r="B42" i="22" s="1"/>
  <c r="D41" i="22" l="1"/>
  <c r="D42" i="22" s="1"/>
  <c r="B9" i="22"/>
  <c r="B7" i="22" s="1"/>
  <c r="C42" i="22"/>
  <c r="E8" i="21"/>
  <c r="C43" i="22" l="1"/>
  <c r="F45" i="20"/>
  <c r="E54" i="20"/>
  <c r="F54" i="20" l="1"/>
  <c r="F34" i="8" l="1"/>
  <c r="F39" i="8" s="1"/>
  <c r="F49" i="8" s="1"/>
  <c r="G35" i="8" l="1"/>
  <c r="G39" i="8" s="1"/>
  <c r="E7" i="8"/>
  <c r="E9" i="20" l="1"/>
  <c r="E8" i="20" s="1"/>
  <c r="F40" i="8" l="1"/>
  <c r="G53" i="20"/>
  <c r="G45" i="20"/>
  <c r="F55" i="20"/>
  <c r="D16" i="19"/>
  <c r="C16" i="19"/>
  <c r="C24" i="19" s="1"/>
  <c r="C36" i="19" s="1"/>
  <c r="E15" i="19"/>
  <c r="E14" i="19"/>
  <c r="E13" i="19"/>
  <c r="E12" i="19"/>
  <c r="F50" i="8" l="1"/>
  <c r="G49" i="8"/>
  <c r="D24" i="19"/>
  <c r="G54" i="20"/>
  <c r="E16" i="19"/>
  <c r="E24" i="19" s="1"/>
  <c r="E36" i="19" s="1"/>
  <c r="D25" i="19" l="1"/>
  <c r="C8" i="19"/>
  <c r="D7" i="19" s="1"/>
  <c r="D36" i="19"/>
  <c r="D37" i="19" s="1"/>
  <c r="G13" i="18" l="1"/>
  <c r="G16" i="18"/>
  <c r="G12" i="18"/>
  <c r="G32" i="18"/>
  <c r="G30" i="18" l="1"/>
  <c r="E8" i="18"/>
  <c r="E7" i="18" s="1"/>
  <c r="G43" i="18"/>
  <c r="G53" i="18" s="1"/>
  <c r="E9" i="17"/>
  <c r="E11" i="17" s="1"/>
  <c r="G54" i="18" l="1"/>
  <c r="G50" i="18"/>
  <c r="D104" i="9"/>
  <c r="D105" i="9" s="1"/>
  <c r="D8" i="9" s="1"/>
  <c r="C104" i="9"/>
  <c r="C105" i="9" s="1"/>
  <c r="E105" i="9" l="1"/>
  <c r="E12" i="13"/>
  <c r="D106" i="9" l="1"/>
  <c r="D13" i="11"/>
  <c r="E13" i="11" s="1"/>
  <c r="D7" i="11" l="1"/>
  <c r="D14" i="11"/>
  <c r="D18" i="10"/>
  <c r="C18" i="10"/>
  <c r="E17" i="10"/>
  <c r="E18" i="10" s="1"/>
  <c r="D19" i="10" l="1"/>
  <c r="D14" i="10"/>
  <c r="E104" i="9" l="1"/>
  <c r="F14" i="6" l="1"/>
  <c r="D15" i="6"/>
</calcChain>
</file>

<file path=xl/sharedStrings.xml><?xml version="1.0" encoding="utf-8"?>
<sst xmlns="http://schemas.openxmlformats.org/spreadsheetml/2006/main" count="1620" uniqueCount="639">
  <si>
    <t>назва</t>
  </si>
  <si>
    <t xml:space="preserve">заплановано </t>
  </si>
  <si>
    <t>профінансовано</t>
  </si>
  <si>
    <t>Разом</t>
  </si>
  <si>
    <t>залишок</t>
  </si>
  <si>
    <t>відхилення</t>
  </si>
  <si>
    <t>кількість отримувачів</t>
  </si>
  <si>
    <t>профінан-совано</t>
  </si>
  <si>
    <t xml:space="preserve">запла-новано </t>
  </si>
  <si>
    <t>вико-ристано</t>
  </si>
  <si>
    <t>кількість обєктів</t>
  </si>
  <si>
    <t>використано</t>
  </si>
  <si>
    <t>Перелік заходів програми</t>
  </si>
  <si>
    <t>Заплановано на рік</t>
  </si>
  <si>
    <t>заробітна плата</t>
  </si>
  <si>
    <t>Всього по загальному фонду</t>
  </si>
  <si>
    <t>Загальний фонд</t>
  </si>
  <si>
    <t>Спеціальний фонд</t>
  </si>
  <si>
    <t>Всього по спеціальному фонду</t>
  </si>
  <si>
    <t>од.</t>
  </si>
  <si>
    <t>«Капітальне будівництво, реконструкція та капітальний ремонт</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</si>
  <si>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</si>
  <si>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</si>
  <si>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</si>
  <si>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</si>
  <si>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Оплата робіт по проведенню експертної грошової оцінки земельних ділянок несільськогосподарського призначення</t>
  </si>
  <si>
    <t>засоби масової інформації</t>
  </si>
  <si>
    <t>Всього</t>
  </si>
  <si>
    <t>по загальному фонду</t>
  </si>
  <si>
    <t>по спеціальному фонду</t>
  </si>
  <si>
    <t>Статті затрат</t>
  </si>
  <si>
    <t>к-ть</t>
  </si>
  <si>
    <t>грн.</t>
  </si>
  <si>
    <t>Процент виконання</t>
  </si>
  <si>
    <t>%</t>
  </si>
  <si>
    <t>процент виконання</t>
  </si>
  <si>
    <t>Всього по КПК</t>
  </si>
  <si>
    <t>Разом по програмі</t>
  </si>
  <si>
    <t>посл.</t>
  </si>
  <si>
    <t>електрична енергія в т.ч.розподіл</t>
  </si>
  <si>
    <t>природний газ</t>
  </si>
  <si>
    <t>кВт</t>
  </si>
  <si>
    <t>м3</t>
  </si>
  <si>
    <t>посл</t>
  </si>
  <si>
    <t>шт</t>
  </si>
  <si>
    <t>придбання палива</t>
  </si>
  <si>
    <t>дизельне пальне</t>
  </si>
  <si>
    <t>л</t>
  </si>
  <si>
    <t>бензину</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</si>
  <si>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</si>
  <si>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Новопетрівський ліцей</t>
  </si>
  <si>
    <t>Новопетрівська гімназія № 1</t>
  </si>
  <si>
    <t>Новопетрівська гімназія № 2</t>
  </si>
  <si>
    <t>Лютізький ліцей</t>
  </si>
  <si>
    <t>Заробітна плата</t>
  </si>
  <si>
    <t>Нарахування на заробітну плату</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</si>
  <si>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</si>
  <si>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</si>
  <si>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</si>
  <si>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</si>
  <si>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</si>
  <si>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</si>
  <si>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Страхування автомобілів та тракторів</t>
  </si>
  <si>
    <t>Налагодження та супровід бухгалтерського програмного забезпечення</t>
  </si>
  <si>
    <t>нарахування на заробітну плату</t>
  </si>
  <si>
    <t>всього по КПК</t>
  </si>
  <si>
    <t>од. вим.</t>
  </si>
  <si>
    <t>кіль-кість</t>
  </si>
  <si>
    <t>м2</t>
  </si>
  <si>
    <t>т</t>
  </si>
  <si>
    <t>м/год</t>
  </si>
  <si>
    <t>год</t>
  </si>
  <si>
    <t xml:space="preserve">Придбання запчастин для транспортних засобів </t>
  </si>
  <si>
    <t>водопостачання та водовідведення</t>
  </si>
  <si>
    <t>електрична енергія</t>
  </si>
  <si>
    <t>інші енергоносії</t>
  </si>
  <si>
    <t>Статтею 71 Бюджетного кодексу України передбачено таке:</t>
  </si>
  <si>
    <t xml:space="preserve">Придбання предметів довгострокового користування </t>
  </si>
  <si>
    <t>медикаменти</t>
  </si>
  <si>
    <t>харчування</t>
  </si>
  <si>
    <t>назва закладу</t>
  </si>
  <si>
    <t>статті затрат</t>
  </si>
  <si>
    <t>харчування (Пролісок)</t>
  </si>
  <si>
    <t>харчування (Барвінок)</t>
  </si>
  <si>
    <t>харчування (Петрик)</t>
  </si>
  <si>
    <t>навчання та підготовка кадрів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</si>
  <si>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</si>
  <si>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</si>
  <si>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Комунальні послуги</t>
  </si>
  <si>
    <t>Оплата праці</t>
  </si>
  <si>
    <t>Придбання матеріалів</t>
  </si>
  <si>
    <t>ВСЬОГО</t>
  </si>
  <si>
    <t>загальний фонд</t>
  </si>
  <si>
    <t>спеціальний фонд</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</si>
  <si>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</si>
  <si>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</si>
  <si>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</si>
  <si>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</si>
  <si>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</si>
  <si>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</si>
  <si>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вико-                       ристано</t>
  </si>
  <si>
    <t>Код КПК</t>
  </si>
  <si>
    <t xml:space="preserve">Програма реалізується відповідно до основних заходів та обсягу коштів, які виділені на їх виконання. </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</si>
  <si>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</si>
  <si>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</si>
  <si>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 xml:space="preserve"> </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</si>
  <si>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</si>
  <si>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</si>
  <si>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</si>
  <si>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інші заходи (навчання)</t>
  </si>
  <si>
    <t>Харчування дітей дошкільних закладів</t>
  </si>
  <si>
    <t>Придбання медикаментів</t>
  </si>
  <si>
    <t>безпека охорони праці під час експлуатації обладнання</t>
  </si>
  <si>
    <t>Видатки на відрядження</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</si>
  <si>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</si>
  <si>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</si>
  <si>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</si>
  <si>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</si>
  <si>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</si>
  <si>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</si>
  <si>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</si>
  <si>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</si>
  <si>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Звіт по програмі</t>
  </si>
  <si>
    <t xml:space="preserve">Звіт по програмі </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</si>
  <si>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</si>
  <si>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</si>
  <si>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</si>
  <si>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</si>
  <si>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</si>
  <si>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</si>
  <si>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</si>
  <si>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</si>
  <si>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</si>
  <si>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</si>
  <si>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</si>
  <si>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</si>
  <si>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</si>
  <si>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</si>
  <si>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придбання матеріалів, обладнання та інвентар</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</si>
  <si>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</si>
  <si>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</si>
  <si>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</si>
  <si>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</si>
  <si>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</si>
  <si>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</si>
  <si>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заходи з реалізації державних програм (навчання та підготовка кадрів)</t>
  </si>
  <si>
    <t xml:space="preserve"> Звіт по програмі </t>
  </si>
  <si>
    <t>придбання предметів довгострокового користування</t>
  </si>
  <si>
    <t>Всього спеціальний фонд</t>
  </si>
  <si>
    <t>Всього загальний фонд</t>
  </si>
  <si>
    <t xml:space="preserve">Разом </t>
  </si>
  <si>
    <t>Інші послуги</t>
  </si>
  <si>
    <t>Всього дошкільна освіта</t>
  </si>
  <si>
    <t xml:space="preserve">Всього інших послуг </t>
  </si>
  <si>
    <t>СЕРЕДНЯ ОСВІТА</t>
  </si>
  <si>
    <t>ДОШКІЛЬНА ОСВІТА</t>
  </si>
  <si>
    <t>Виплата стипендій</t>
  </si>
  <si>
    <t>придбання матеріалів</t>
  </si>
  <si>
    <t>інші послуги (судовий збір, навчання та підготовка кадрів)</t>
  </si>
  <si>
    <t>Всього середня освіта</t>
  </si>
  <si>
    <t>Відшкодування компенсацій  проведено в повному обсязі згідно наданих актів та поданих зверень громадян.</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</si>
  <si>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</si>
  <si>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</si>
  <si>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</si>
  <si>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</si>
  <si>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</si>
  <si>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</si>
  <si>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</si>
  <si>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Всього придбання послуг</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</si>
  <si>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</si>
  <si>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заплано-вано </t>
  </si>
  <si>
    <t>до рішення сільської ради</t>
  </si>
  <si>
    <t>Виплати коштів  були здійснені по фактично наданих зверненнях громадян.</t>
  </si>
  <si>
    <t>Секретар Петрівської сільської ради</t>
  </si>
  <si>
    <t>Світлана</t>
  </si>
  <si>
    <t>КОСТЮК</t>
  </si>
  <si>
    <t>Світлана КОСТЮК</t>
  </si>
  <si>
    <t>Секретар Петрівської сільської  ради</t>
  </si>
  <si>
    <t xml:space="preserve">Секретар Петрівської сільської ради </t>
  </si>
  <si>
    <t xml:space="preserve">         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</si>
  <si>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 xml:space="preserve">              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</si>
  <si>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 xml:space="preserve">      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</si>
  <si>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Всього по КПК 112152</t>
  </si>
  <si>
    <t>Всього по КПК 112151</t>
  </si>
  <si>
    <t>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</si>
  <si>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</si>
  <si>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Обсяг витрат на надання матеріальної допомоги</t>
  </si>
  <si>
    <t xml:space="preserve">відшкодування вартості встановлення телефону та знижки на абонентську плату за користування телефоном </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</si>
  <si>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</si>
  <si>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Обсяг витрат на надання компенсації</t>
  </si>
  <si>
    <t xml:space="preserve">У 2023 році фактичні видатки на Програму склали : </t>
  </si>
  <si>
    <t>Петрівський ліцей</t>
  </si>
  <si>
    <t>послуги  обслуговування заходу</t>
  </si>
  <si>
    <t>Предмети, матеріали, обладнання та інвентар</t>
  </si>
  <si>
    <t>Оплата послуг (крім комунальних)</t>
  </si>
  <si>
    <t>придбання обладнення і предметів довгострокового користування</t>
  </si>
  <si>
    <t xml:space="preserve">Метою Програми є створення системи правових та соціально-економічних умов для ефективної соціалізації та самореалізації молоді, забезпечення всебічної підтримки та розвитку її громадської активності, реалізації інтелектуального, фізичного, творчого потенціалу молоді, формування патріота і громадянина.
Основними завданнями Програми є:
- сприяння самореалізації та всебічному розвитку молоді, заохочення її до реалізації поставленої мети, спонукання до прозорості діяльності молодіжних об'єднань;
- підвищення рівня відповідальності при реалізації молодіжної політики, сприяння співпраці молоді з органами виконавчої влади, підтримка молодіжних ініціатив;
- сприяння розвитку органів учнівського самоврядування у навчальних закладах міста;
- залучення студентства до безпосередньої участі у реалізації молодіжної політики та розбудові громадянського суспільства;
- утвердження патріотичної свідомості та активної громадянської позиції молоді, виховання у молоді почуття особистої та національної гідності, популяризація національної культури;
- формування у молоді бережливого ставлення до природного, соціального, культурного та предметно-побутового довкілля;
- створення умов для творчого розвитку особистості, інтелектуального самовдосконалення молоді, підтримка творчих ініціатив молоді та активностей у різних сферах життєдіяльності суспільства;
- сприяння працевлаштуванню та зайнятості молоді шляхом впровадження системи профорієнтації, створення умов для вторинної зайнятості молоді, забезпечення молоді першим робочим місцем, розширення інформаційного поля стосовно існуючих професій та попиту на них;
 - сприяння розвитку молодіжного підприємництва, самозайнятості та ефективного просування молодих людей у підприємницькому середовищі;
- розширення соціальних можливостей молоді через розвиток та популяризацію волонтерського руху як форми залучення молоді до суспільно значущої діяльності, способу неформальної освіти і вторинної зайнятості;        
- активізація зусиль, направлених на покращення здоров’я молоді, усвідомлення цінності здоров’я, відповідальності за його збереження шляхом залучення молоді до занять спортом;
- впровадження нових форм організації змістовного дозвілля молоді у сфері пропаганди здорового способу життя та запобігання негативних проявів у молодіжному середовищі.
</t>
  </si>
  <si>
    <t>Програма реалізована  в межах загального обсягу видатків, виділених місцевим бюджетом громади на цю галузь на 2023 рік.</t>
  </si>
  <si>
    <t>інші енергоносії (дрова, брикети, бензин для генераторів)</t>
  </si>
  <si>
    <t>предмети, матеріали, обладнання та інвентар</t>
  </si>
  <si>
    <t xml:space="preserve">Програма виконана в межах запланованих видатків на 2023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</si>
  <si>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Одноразова матеріальна допомога на лікування по життєво- важливим показникам онкохворим ,тяжкохворим громадянам ,особам з інвалідністю  які потребують лікування та учасникам бойових дій які захищали незалежність,суверенітет та територіальну цілісність України,які потребують лікування травми,поранення для ветеранів війни отриманих у зоні бойових дій (за умови реєстрації місця проживання та фактичного проживання на території Петрівської територіальної громади)</t>
  </si>
  <si>
    <t xml:space="preserve">Одноразова матеріальна допомога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</si>
  <si>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Надання одноразової  матеріальної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</si>
  <si>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Надання одноразової матеріальної допомоги на поховання членам сімей загиблих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України,учасникам Революції Гідності,учасникам АТО, (за умови реєстрації місця проживання та фактичного проживання на території Петрівської сільської ради не менше 1 року)</t>
  </si>
  <si>
    <t>Надання одноразової матеріальної допомоги членам сімей загиблих  на встановлення пам’ятників загиблим учасникам  Революції Гідності,учасникам АТО,учасникам бойових дій, які захищали незалежність, суверенітет та територіальну цілісність України  які поховані на  території Петрівської сільської територіальної громади</t>
  </si>
  <si>
    <t>Інформування населення з питань соціальних проблем, шляхи їх вирішення, шляхи їх подолання, розвитку сімейних форм виховання (буклети, листівки, тощо)</t>
  </si>
  <si>
    <t>Захід до Дня усиновлення "Коли посміхається дитина - посміхається небо"</t>
  </si>
  <si>
    <t>Захід до Всесвітнього дня дитини</t>
  </si>
  <si>
    <t>Продукти харчування</t>
  </si>
  <si>
    <t>Оплата послуг крім комунальних</t>
  </si>
  <si>
    <t>Інші поточні видатки</t>
  </si>
  <si>
    <t>оплата послуг (крім комунальних)</t>
  </si>
  <si>
    <t xml:space="preserve">Капітальний ремонт </t>
  </si>
  <si>
    <t xml:space="preserve">       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</si>
  <si>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
«Охорона навколишнього природного середовища Петрівської сільської територіальної громади на 2022-2024 роки»
</t>
  </si>
  <si>
    <t xml:space="preserve">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
Основою проблемою є підтоплення та затоплення територій (земель) в с. Нові Петрівці Вишгородського району Київської області виникають по декілька разів на рік в період випадання рясних дощів та у весняний період танення снігу. В залежності від кількісних показників опадів та їх тривалості, тривалості весняного розмерзання ґрунту, на поверхні, в низинних місцях затоплюються значні території із водостоянням на поверхні тривалістю від декількох днів до декількох тижнів. Ці періодичні підтоплення та затоплення призводять до великих незручностей для проживаючого на цій території населення, негативно впливають на санітарно-епідемічний стан, наносять значні збитки власникам приватних садиб через ушкодження їх майна, та місцевій громаді. Тривале водостояння на поверхні знищує городину дерева та кущі, що також приносить значні збитки власникам та значно погіршує психо-емоційний стан населення, особливо старшого віку.
</t>
  </si>
  <si>
    <t>Виготовлення ПКД  на будівництво водозабірного вузла по вул. Межигірська в с.Нові Петрівці</t>
  </si>
  <si>
    <t>Придбання апарата УЗД X-CUBE 60 з датчиками</t>
  </si>
  <si>
    <t>Комплектуючі вироби та деталі</t>
  </si>
  <si>
    <t>Насінневий матеріал</t>
  </si>
  <si>
    <t>Придбання канцтоварів та паперу</t>
  </si>
  <si>
    <t>Придбання матеріалів, будматеріалів, інвентарю</t>
  </si>
  <si>
    <t>шт.</t>
  </si>
  <si>
    <t>Придбання спецодягу</t>
  </si>
  <si>
    <t>Придбання шин</t>
  </si>
  <si>
    <t>Ремонт і технічне обслуговування автотранспортних засобів</t>
  </si>
  <si>
    <t>Послуги автовишки</t>
  </si>
  <si>
    <t>Обслуговування офісної техніки, заправка картриджів</t>
  </si>
  <si>
    <t>Послуги з обслуговування фонтану</t>
  </si>
  <si>
    <t>Послуги маніпулятора</t>
  </si>
  <si>
    <t>Послуги зв"язку та інтернету</t>
  </si>
  <si>
    <t>Придбання побутового вагончика</t>
  </si>
  <si>
    <t xml:space="preserve">Новопетрівський ліцей </t>
  </si>
  <si>
    <t>Новопетрівська гімназія №2</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</si>
  <si>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</si>
  <si>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Капітальний ремонт водойми шляхом  очищення  донних  відкладів  та благоустрою  в с. Нові Петрівці Вишгородського району  Київської області</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</si>
  <si>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</si>
  <si>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Розробка проектно – кошторисної документації "Будівництво дороги по вул. Індустріальна та прилеглих вулиць в с. Нові Петрівці Вишгородського району Київської області"</t>
  </si>
  <si>
    <t>Розробка проектно – кошторисної документації "Будівництво вулиці Луцька 2 в с. Нові Петрівці Вишгородського району Київської області"</t>
  </si>
  <si>
    <t>Програма виконана в межах запланованих видатків на 2023 рік.</t>
  </si>
  <si>
    <t>Звіт по  програмі</t>
  </si>
  <si>
    <t xml:space="preserve">Енергозбереження ( підвищення енергоефективності)  Петрівської сільської територіальної громади на 2023-2025 роки»
</t>
  </si>
  <si>
    <t xml:space="preserve">Програма розроблена відповідно до Законів України «Про енергетичну ефективність», «Про місцеве самоврядування в Україні», статті 8 ЗУ «Про основи національної безпеки»,  Енергетичної стратегії України на період до 2035 року «Безпека, енергоефективність, конкурентоспроможність».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
</t>
  </si>
  <si>
    <t xml:space="preserve">Забезпечення вільного творчого, інтелектуального розвитку дівчаток та хлопчиків дошкільного, молодшого-старшого шкільного віку, чоловіків та жінок в комунальному закладі «Петрівська школа мистецтв» Петрівської сільської ради. Доступності початкової спеціалізованої мистецької ОСВІТИ, гарантування громадянам права на її здобуття. Окреслити і організувати основні напрямки роботи по розвитку закладу, підтримки його престижу та конкурентно-спроможності в сучасних умовах.                       Основні завдання програми:                                                                                                                                                                                                                                                                                                                                                                                                                                                                                                                    - збереження і розширення контингенту учнів;
- збільшення частки в контингенті школи дітей з сільської місцевості району;
- відкриття класів за новими спеціалізаціями;
- збереження та подальше зміцнення матеріально-технічної бази школи;
- закріплення позитивного іміджу закладу, як початкової ланки мистецької освіти з державними гарантіями;
- привернення уваги до проблем закладу, з метою їх. вирішення;
- розпочати співпрацю з іншими країнами у питаннях початкової спеціалізованої мистецької освіти в рамках прискорення та поглиблення інтеграції України в європейський та світовий простір.
    </t>
  </si>
  <si>
    <t xml:space="preserve">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2023 рік
</t>
  </si>
  <si>
    <r>
      <t xml:space="preserve">         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  </t>
    </r>
    <r>
      <rPr>
        <sz val="12"/>
        <color theme="1"/>
        <rFont val="Calibri"/>
        <family val="2"/>
        <charset val="204"/>
        <scheme val="minor"/>
      </rPr>
      <t xml:space="preserve"> Внаслідок бойових дій військ російської федерації на території України з 24 лютого 2022 року інфраструктура Петрівської сільської територіальної громади Вишгородського  району Київської області зазнала значних ушкоджень. Найзапекліші бої на території громади відбувались в с. Гута-Межигірська. </t>
    </r>
  </si>
  <si>
    <t xml:space="preserve">     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</si>
  <si>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t>
  </si>
  <si>
    <t xml:space="preserve">        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
</t>
  </si>
  <si>
    <t xml:space="preserve">Державна політика у сфері захисту населення і територій від надзвичайних ситуацій техногенного і природного характеру здійснюється на принципах пріоритетності завдань, спрямованих на рятування життя та збереження здоров’я людей і довкілля та безумовного надання переваги раціональній і превентивній безпеці.
Найбільшу небезпеку для населення Петрівської сільської територіальної громади становлять:
- непередбачувані процеси військового стану;
- повеневі процеси (пошкодження гідротехнічних споруд); 
- випадки, пов’язані з накопиченням небезпечних хімічних та інших речовин;
- випадки виявлення вибухонебезпечних предметів;
- аварії внаслідок зношення виробничих фондів на потенційно небезпечних об‘єктах;
- наявність епізоотичних зон та природних осередків небезпечних інфекційних захворювань; 
- аварії на транспорті.
Надзвичайно серйозною проблемою залишається забезпечення надійного протипожежного захисту населених пунктів громади, де щороку виникають пожежі. Для успішного гасіння пожеж черговим службам потрібно витратити мінімум часу для слідування до місця виклику. Враховуючи небезпечні фактори пожеж та час, необхідний для прибуття чергових варт оперативно-рятувальної служби, можуть виявитися критичними для порятунку життя людей та майна від вогню.
Надання 10 ДПРЗ субвенції  дозволить своєчасно виконати заходи, спрямовані на:
- здійснення запобіжних заходів у разі загрози виникнення надзвичайних ситуацій;
- ліквідацію наслідків надзвичайних ситуацій;
- проведення невідкладних відновлювальних робіт і заходів;
- надання постраждалому населенню необхідної допомоги для забезпечення його життєдіяльності;
- утримання пунктів незламності;
- забезпечення паливно-мастильними та іншими витратними матеріалами пожежно рятувальної техніки та генераторів пунктів незламності
</t>
  </si>
  <si>
    <t>Паливно мастильні матеріали</t>
  </si>
  <si>
    <t xml:space="preserve">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Серед основних завдань Програми:
- постійна співпраця поліцейських офіцерів з громадою;
- інтеграція поліції в суспільство;
- задоволення безпекових потреб громадян;
- ефективне та консолідоване вирішення локальних проблем громади.
</t>
  </si>
  <si>
    <t>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t>
  </si>
  <si>
    <t xml:space="preserve">В умовах збільшення проявів тероризму та сепаратизму, спроб нагнітання соціально-політичної ситуації, погіршення криміногенного стану і виникла нагальна потреба зміцнення та посилення заходів безпеки Петрівської сільської територіальної громади.
Сільська влада посилено працює над попередженням та протидією можливим загрозам життю та здоров’ю громадян, намагається забезпечити оперативне реагування на надзвичайні ситуації, оскільки у громаді існує ряд об’єктів, які потребують посиленого захисту та контролю. До них відносяться:
- в’їзди в села;
- центральні частини сіл;
- супермаркети, торгові заклади тощо;
- місця скупчення людей;
- стратегічні та важливі для життєдіяльності об’єкти сіл;
- адміністративні будівлі, навчальні та медичні заклади, комунальні та житлові об’єкти, інші громадські будівлі тощо;
- автодорожні шляхи.
Крім того, є нагальна потреба в інтеграції та модернізації існуючих систем відеоспостереження в селах Петрівської територіальної громади, які функціонують окремо одна від одної.  
</t>
  </si>
  <si>
    <t xml:space="preserve">Обслуговування відеокамер </t>
  </si>
  <si>
    <t xml:space="preserve">Оплата послуг Інтернету (відеокамери) </t>
  </si>
  <si>
    <t>Оренда біотуалетів</t>
  </si>
  <si>
    <t>"Соціальне забезпечення та соціальний захист населення Петрівської сільської територіальної громади "Турбота" на 2024 рік</t>
  </si>
  <si>
    <t>«Підтримки осіб, які підписали контракт з добровольчим формуванням Петрівської територіальної громади № 1 Вишгородського району Київської області на 2024 рік»</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</si>
  <si>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2024 рік»</t>
  </si>
  <si>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2024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 </t>
  </si>
  <si>
    <t xml:space="preserve">«Соціальний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2024 рік»
</t>
  </si>
  <si>
    <t>"Надання соціальних послуг по Петрівській сільській територіальній громаді на 2024 рік"</t>
  </si>
  <si>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2024 рік»</t>
  </si>
  <si>
    <t>«Організація харчування пільгових категорій учнів у закладах загальної середньої освіти Петрівської сільської ради на 2024 рік»</t>
  </si>
  <si>
    <t>Одноразова матеріальна допомога військовослужбовців,учасників бойових дій ,ветеранів війни,які отримали поранення у зв'язку з військовою агресією Російської Федерації проти України та звільнені з військової служби за станом здоров'я(за умови реєстрації місця реєстрації проживанняна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</si>
  <si>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з 01.01.2024 (за умови реєстрації місця реєстрації проживанняна території Петрівської сільської територіальної громади)</t>
  </si>
  <si>
    <t>Одноразова матеріальна допомога выйськовослужбовців,учасників бойових дій ,ветеранів війни,які отримали поранення у зв'язку з військовою агресією Російської Федерації проти України та звільнені з військової служби за станом здоров'я(за умови реєстрації місця реєстрації проживання на території Петрівської сільської територіальної громади)</t>
  </si>
  <si>
    <t>98</t>
  </si>
  <si>
    <t>Комплексна програма"Підтримка захисника та захисниці Петрівської сільської територіальної громади та членів їх родин на 2024-2026 роки"</t>
  </si>
  <si>
    <t xml:space="preserve">Метою Програми є забезпечення організації на території Петрівської сілської територіальної громади заходів та іншої соціальної підтримки військовослужбовців,які брали(беруть)участь в захисті України та членів їх сімей,ветеранів війни,учасників бойових дій потерпілих внаслідок російської  агресії та війни  в Україні,членів їх сімей,надання допомоги для вирішення інших матеріальних потреб,популяризація військової служби.Програма спрямована підвищення рівня правового і соціального захисту військовослужбовців,ветеранів війни,учасників бойових дій,підтримання їх належного матеріального та морального-психологічного стану;посилення соціального захисту військовослужбовців та підвищення іміджу військової служби;підтримка боєготовності військовослужбовців,які виконують завдання у зоні бойових дій;підтримання сімей військовослужбовців,які зникли безвісті під час виконання бойових завданнь;поліпшення ефекимвності взаємодії органів місцевого самоврядування з регіональними громадськими чи волонтерськими організаціями та іншими юридичними особами у сфері підтримки військовослужбовців;підвищення рівня поінформованості з питань соціальної підтримки;гідного вшанування суспільством захисників і захисниць за мужність та героїзм проявлених під час захисту України від російської агресії та участі в бойових діях.
</t>
  </si>
  <si>
    <t>Одноразова матеріальна допомога ветеранам війни, учасникам бойових дій, що захищали незалежність, суверенітет та територіальну цілісність України, які потребують лікування травми, поранення, отриманих у зоні бойових дій(за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поранення)</t>
  </si>
  <si>
    <t>Одноразова матеріальна допомога на поховання членам сімей учасникам бойових дій, які захищали незалежність, суверенітет та територіальну цілісність України, учасникам Революції Гідності, учасникам АТО, загиблих учасникам бойових дій в Афганістані, ветеранам війни-учасникам бойових дій у Другій світовій війні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смерті)</t>
  </si>
  <si>
    <t>Надання одноразової матеріальної допомоги членам сімей загиблих  на встановлення пам’ятників загиблим учасникам бойових дій,які захищали незалежність,суверенітет та територіальну цілісність України та які поховані 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</si>
  <si>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з 01.01.2024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</si>
  <si>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Одноразова матеріальна допомога військовослужбовців, учасників бойових дій, ветеранів війни, які отримали поранення у зв’язку з військовою агресією Російської Федерації проти України та звільнені з військової служби за станом здоров'я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звільнення з військової служби)</t>
  </si>
  <si>
    <t>Одноразова матеріальна допомога одному із членів сім’ї особи (першого ступеня споріднення), яка під час виконання обов’язків військової служби (службових обов’язків) зникла безвісти (за умови реєстрації місця проживання,а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</si>
  <si>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або підписали  контракт в лютому,березні 2022 року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</si>
  <si>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Щорічна одноразова матеріальна допомога дитині ,один з батьків або батьки якої загинув(ли)(померла(и)) під час участі у заходах необхідних для забезпечення оборони України,захисту безпеки населення та інтересів держави у зв'язку з військовою агресією російської федерації проти України,смерть яких пов'язана із захистом Батьківщини,які поховані або зареєстровані ,а також,які мають статус внутрішньо переміщеної особи на території Петрівської сільської територіальної громади</t>
  </si>
  <si>
    <t>Щорічна одноразова матеріальна допомога сім'ї особи,яка загинула (померла)під час участі у заходах необхідних для забезпечення оборони України,захисту безпеки населення та інтересів держави у зв'язку з військовою агресією Російської Федерації проти України,смерть яких пов'язана із захистом Батьківщини,які поховані або зареєстровані, також які мають статус внутрішньо переміщеної особи на території Петрівської сільської територіальної громади</t>
  </si>
  <si>
    <t>Одноразова матеріальна допомога для військовослужбовців, які виконують завдання у зоні бойових дій для придбання матеріально-технічних засобів, товарів військового призначення(за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</si>
  <si>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«Забезпечення прав дітей та розвитку сімейних форм виховання                                                                                                                                                  "Щаслива дитина-успішна громада на 2024 рік»</t>
  </si>
  <si>
    <t xml:space="preserve">У 2024 році фактичні видатки на Програму склали : </t>
  </si>
  <si>
    <t>Проведено круглий стіл на тему: "Про першочергові заходи щодо реалізації державної політики з метою соціально-правового захисту людей"</t>
  </si>
  <si>
    <t>Програма забезпечення осіб з інвалідністю засобами індивідуального захисту: катетер (144 шт)-4 968,00 грн., уростомний мішок (1440 шт)-108 936,00 грн., калоприймачі одно і дво-компонентні (1400 шт)-135 789,96 грн., пелюшки (5760 шт)-32 448,00 грн., підгузки дорослі/дитячі (29760 шт)-372 146,64 грн., прокладки уростомні жіночі/чоловічі (7656 шт)-54 863,64 грн..</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</si>
  <si>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2024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2024 році складає 23 особи, прогнозована необхідність:
Калоприймачі потребує  –  2 особи;
Підгузки (памперси)  – 12 осіб;                                                                                                                                                                                                                                                                                                                                                                                                                                                                                      Уростопна пластина – 3 особи;
Урологічні прокладки  – 3 особи;
Сечоприймач – 1 особа;                                                                                                                                                                                                                             Одноразові пелюшки - 2 особи.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2024 рік в сумі 733 650,00 гривень
</t>
  </si>
  <si>
    <t xml:space="preserve">У 2024 році фактичні видатки на програму склали </t>
  </si>
  <si>
    <t>Бензин-49 470,00 грн., лампи 8 400,00 грн.,  приладдя для ремонту -6 678,14 грн.,  фарби для ремонту - 57 226,80 грн.,  концтовари до дня захисту дітей- 96 600,00 грн.,  печатка - 1 700,00 грн., придбання стулів-7 272,00 грн., двері-15 000,00 грн., хоз. набор-73 350,00 грн., чайник, мультиварка-12 692,99 грн., термоса-5 994,80 грн., розетка - 6 997,48 грн., замки-7 621,72 грн., памперси дорослі-49 410,00 грн., чорнила-8 885,82 грн. ,набор для дітей інвалідів-49 824,00 грн., одноразовий посуд-4 824,28 грн., вода-2 325,84 грн.,засоби для прибирання-35 018,23 грн.,туалетний папір-8 796,84 грн., канцелярські товари-39 197,54 грн., будівельна тачка-3 180,00 грн., змішувачі-7 926,91 грн., кран кульковий різних видів-10 999,88 грн., спец одяг-15 126,98 грн., знаряддя-9 200,00 грн., лед панелі-12 000,00 грн., пакети мусорні- 7 168,44 грн., рукавички-3 992,65 грн.</t>
  </si>
  <si>
    <t>Інтернет- 13 920,00грн., послуги програмного забезпечення-16 644,00 грн., технічне обслуговування газу-6 518,77грн., телефон- 6 101,00 грн., заправка катріджа-2 450,00 грн., Тех. Обслуг. Котельні-20 400,00 грн., ПЗ соната-1 390,00 грн., місцевий бюджет - 3 300,00 грн., ремонт катріджа-590,00 грн., оплата інформ. Послуг-8 000,00 грн., обслуговування пожежної сигналізація- 15 120,00 грн., послуги вентиляція- 6 000,00 грн., страхування авто+водій- 3 397,00 грн., заправка вогнегасника - 1 360,00 грн., тех. умови по котельні- 3 965,56 грн., підготовка до опалювального сезону -14 770,00 грн..</t>
  </si>
  <si>
    <t>Оформлення державних номерних знаків автомобіля - 1 033,22 грн., налог на машину - 28 944,57 грн..</t>
  </si>
  <si>
    <t>Навчаання - 6 400,00 грн, навчання операторів- 14 040,00 грн..</t>
  </si>
  <si>
    <t>Медикаменти та перевязувальні матеріали</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</si>
  <si>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4 заклади загальної середньої освіти, у яких навчається 2156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загальноосвітніх навчальних закладів із сімей, які отримують допомогу відповідно до Закону України «Про державну соціальну допомогу малозабезпеченим сім’ям»;                                                                                                                                                         
</t>
  </si>
  <si>
    <t xml:space="preserve">Відповідно до наказу Київської обласної державної адміністрації від 26.02.2024 року № 353 «Про внесення змін до обласного бюджету Київської області на 2024 рік»  по КБКД 41053900 «Інші субвенції з місцевих бюджетів» збільшити на суму 660 686,00  грн. (Для часткового забезпечення витрат для організації гарячого харчування учнів 1-4 класів протягом 2023/2024 навчального року); за рахунок іншої субвенції з місцевого бюджету (ККД 41037400 ) відповідно до постановою Кабінету Міністрів України від 20 грудня 2024 року № 1451 «Деякі питання надання субвенції з державного бюджету місцевим бюджетам на покращення якості гарячого харчування учнів початкових класів закладів загальної освіти» на суму 112 900 ,00 гривень.
</t>
  </si>
  <si>
    <t xml:space="preserve">Новопетрівська гімназія </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</si>
  <si>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</si>
  <si>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07.10.2024 року  № 52  на суму 1 559 900 ,00 гривень; Зменшити  бюджетні призначення загального фонду 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28.11.2024 року  № 69 на суму 305 300 ,00 гривень</t>
  </si>
  <si>
    <t>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27.12.2024 року  № 83  на суму 2 207 800 ,00 гривень</t>
  </si>
  <si>
    <t>Всього по КПК 0111021</t>
  </si>
  <si>
    <t>«Організація та проведення у Петрівській сільській територіальній громаді загальнодержавних та  загальносільських свят і заходів на 2024 рік»</t>
  </si>
  <si>
    <t>Виконання Програми: продукція для нагородження(медалі, дипломи, подяки, кубки, прапори)- 326 358,66 грн., скатертини, текстильні вироби - 18 452,00 грн., прапорці з підставкою - 18 800,00 грн.; металеві конструкції - 54 207,00 грн.; питна вода - 8 622,83 грн.; листівки - 3 800,00 грн; кепка з логотипом - 6 900,00 грн.; футболки з логотипом - 22 000,00 грн.; квіти - 137 720,00 грн.; лампадки - 2 920,00 грн; афіши - 2 800,00 грн.; банери - 27 625,00 грн.; буклети - 5 268,00 грн.; канцелярські товари - 1 279,69 грн.; новорічні прикраси, подарункові набори - 19 589,00 грн.; горщики для квітів - 7 576,00 грн.; послуги фотографа 30 570,00 грн.; послуги з організації проведення свят - 56 600,00 грн..</t>
  </si>
  <si>
    <t>У 2024 році фактичні видатки на Програму склали :</t>
  </si>
  <si>
    <t>"Розвиток фізичної культури та спорту у Петрівськиій сільській територіальній громаді на 2024 рік"</t>
  </si>
  <si>
    <t xml:space="preserve">Програма «Розвиток фізичної культури та спорту у Петрівській громаді на 2024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</si>
  <si>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Інвентар для проведеня робіт господарським способом - 57 412,38 грн.; поліетеленова продукція - 1 104,00 грн.; канцелярські товри, господарські товари, миючі, дезинфікуючі - 62 134,27 грн.; масляний обігрівач 2шт. - 2 129,73 грн.; акустична система - 13 608,00 грн.; спортивний інвентар - 18 632,60 грн.; інвентар для фітнесу - 23 050,00 грн.; намет 2 шт. - 12 792,00 грн.; футбольний інвентар - 2 445,52 грн.; елементи живлення - 960,00 грн.; питна вода, стаканчики - 4 828,50 грн.; продукція для нагородження - 9 798,00 грн.;</t>
  </si>
  <si>
    <t>обслговування пожежної сигналізації, інтернет, послуги оповіщення про пожежу, заправка катриджів - 38 120,00грн.; автоперевезення - 266 000,00 грн. ;  розробка документації на систему блискавкозахисту - 9 275,00 грн.; заправка вогнегасників - 991,20 грн.; підготовка до опалювального сезону - 3 850,00 грн.; медичний огляд - 19 896,00 грн.; ремонт тренажерів - 9 934,00 грн.</t>
  </si>
  <si>
    <t>навчання та підготовка кадрів зі свідоцтвом</t>
  </si>
  <si>
    <t>Придбання ринга підлогового - 70 000,00 грн.; придбання кардіо тренажера - 66 050,9 грн..</t>
  </si>
  <si>
    <t xml:space="preserve">«Підтримка та розвиток молоді Петрівської сільської територіальної громади на 2024 рік»
</t>
  </si>
  <si>
    <r>
      <rPr>
        <b/>
        <sz val="11"/>
        <color theme="1"/>
        <rFont val="Calibri"/>
        <family val="2"/>
        <charset val="204"/>
        <scheme val="minor"/>
      </rPr>
      <t>1 800,00</t>
    </r>
    <r>
      <rPr>
        <sz val="11"/>
        <color theme="1"/>
        <rFont val="Calibri"/>
        <family val="2"/>
        <charset val="204"/>
        <scheme val="minor"/>
      </rPr>
      <t xml:space="preserve"> грн. - заправка катриджів</t>
    </r>
  </si>
  <si>
    <t xml:space="preserve">Придбання стільців 17 шт. - 16 849,66 грн.; канцелярські, господарські та миючі засоби - 38 642,14 грн.; товари для образотворчого мистецтва - 9 579,84 грн.; товари для рукоділля - 11 758,98 грн.; пряжа - 1 955,28 грн. </t>
  </si>
  <si>
    <t>«Розвиток комунального некомерційного підприємства «Центр первинної медико-санітарної допомоги» Петрівської сільської ради на 2024 рік»</t>
  </si>
  <si>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2024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</si>
  <si>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 xml:space="preserve">Закупівля наборів камертонів 12 шт 53 988,00грн., плантографів 12 шт. 173 400,00 грн., талони на бензин 5380 л. - 273 734,40 грн. </t>
  </si>
  <si>
    <t>Оренда приміщення амбулаторії "Смарагд" 813 960,00 грн., ремонт автомобіля  46 000,00грн, оптала за інтернет 10 920,00 грн., оплата за прибудинкову територію 25 988,58 грн., послуги програмного забезпечення 2 900,00грн., Лаболаторні послуги  4 536,00 грн., заправка катриджів 30 000,00 грн., 47 746,80 грн. послуги з повірки медичного обладнання.</t>
  </si>
  <si>
    <t>Пасха -37 935,12 грн., морозиво - 23 040,00 грн., новорічні подарунки - 50 000,00 грн., продуктові набори - 231 150,00 грн.</t>
  </si>
  <si>
    <t>"Розвиток комунального некомерційного підприємства Петрівської сільської ради "Петрівський консультатвино-діагностичний центр" на 2024 рік"</t>
  </si>
  <si>
    <t>Вогнегасник порошковий ВП-5з (9 шт.)-4 860,00 грн., мило рідке 5л.(16 шт)-2 150,40 грн, засіб для миття посуду 5л.(10 шт)-1 056,00 грн., губки кухонні (50уп)-1 080,00 грн., засіб для миття унітазу 500 мл (50 шт)-4 440,00 грн., засіб для чищення 500 мл (30 шт.)-972,00 грн., рушники паперові (200 уп.)-4 800,00 грн., туалетний папір (240 рул.)-1 929,60 грн., серветки віскозні (20 уп)-552,00 грн., пакет для сміття 35л (50 уп)-2 940,00 грн., пакет для сміття 60л (100 шт.)-1 440,00 грн., пакет для сміття 120л (30 шт)-1 440,00 грн., відро для медичних відходів закрите з педаллю (6 шт.)-2 802,00 грн., насадка для швабри (6 шт)-576,00 грн., конверт (100шт.)-276 грн., папір офісний (125 шт)-22 500,00 грн., папка реєстратор 5 см (10 шт)-720,00 грн., папка реєстратор 7,5 см (15 шт)-1 080,00 грн., папка картонна на зав'язках (40 шт.)-316,80 грн., папка-зшивач прозора (20 шт)-120,00 грн., папка-зшивач пруж (20 шт)-576,00 грн., файли (5 уп)-330,00 грн., скотч (20 шт)-258,00 грн., скріпки (4 уп)-28,80 грн., клей олівець (10 шт)-80,40 шт., кулькова ручка (50 шт)-120,00 грн., касова стрічка для термального друку (80 шт)-1680,00 грн., унітаз для інвалідів у комплекті (1 шт)-9 490,82 грн., змішувач для умивальників в комплекті (2 шт)-3 560,48 грн., умивальник з п'єдисталом (тюльпан) керамічний у комплекті (2 шт.)-6 319,40 грн., гачки подвійні (3 шт)-3 063,63 грн.,по зеркало на кронштейнах у комплекті (1 шт)-1 553,30 грн., шафа настінна (1 шт)-9 500,00 грн., камери відеоспостереження (5 шт)-21 775,00 грн., комутатор 16-портовий (1 шт)-10 320,00 грн., пристрій БПЖ (1 шт)-17 010,00 грн., кабель (305 м)-6 760,00 грн., реєстратордля відеоспостереження (1 шт)-15 840,00 грн., силовий блок 8 розеток (1 шт)-750,00 грн., камера відеоспостереження (1 шт)-6 950,00 грн., жорсткий диск (1 шт)-6 665,00 грн., комутаційний бокс для кабелю (1 шт)-1 118,00 грн., лампа люмінісцентна (25 шт)-2 998,50 грн., калькулятор настільний (2 шт)-1 023,60 грн.</t>
  </si>
  <si>
    <t>Бинт н/с (540 шт)-4 178,00 грн., пластир бактерицидний (5000 шт)-3 900,00 грн., одноразові простирадла (100 рул)-27 200,00 грн., пінцет анатомічний (5 шт)-480,00 грн., ножиці операційні (6 шт)-1 060,00 грн., пінцет отоларингологічний одноразовий (50 шт)-612,00 грн., гігрометр (5 шт)-1 870,00 грн., лампа бактерицидна (5шт.)-1 620,00 грн., кювети КФК (8 шт) 1 360,00 грн., пробірки (220 шт)-1 160,00 грн., пробірка центрифужна (100 шт)-520,00 грн., ланцет автоматичний (10 уп.)-5 550,00 грн., лабораторні реактиви - (15 наб)-12 764,03 грн., дезінфекційні засоби: "Саніліт" 1 кг (20 бан)-9 300,00 грн., "Медіоцид" 1000 мл (100 шт)-32 800,00 грн., "Септонорм" 1000 мл - 10 200,00 грн., "Вернедор" 5л. (10 шт)-23 600,00 грн., "Вернедор Преміум" 1000 мл (10 шт)-6 700,00 грн., серветки Етасепт 120шт. (10 уп)-2 600,00 грн., лікарські засоби -18 590,72 грн., фетальний доплер (1 шт) -1 490,00 грн., валик медичний (1 шт)-1 480,00 грн., канюлі для промиванн лакун мигдалин (10 шт) - 1 050,00 грн., самоклеючі пакети для стерилізації (7200 шт) - 18 790,00 грн., рукавички медичні нітрилові (2400 пар) - 39 360,00 грн.</t>
  </si>
  <si>
    <t>Оплата інтернету-17 820,00 грн., доступ до ІТС "МедЕйр"-28 800,00 грн., послуги з охорони-12 000,00 грн., телекомунікаційні послуги-6 989,76 грн., ПЗ "Медична статистика"-1 600,00 грн., ПЗ "Медичні кадри"-2 400,00 грн., ПЗ "Логіка"-2 900,00 грн., лабораторні послуги-79 950,00 грн., ремонт медичного обладнання-5 972,00 грн., ТО вогнегасників-1 530,00 грн., заправка картриджів-10 000,00 грн., програмне забезпечення для УЗД тканинний доплер)-130 000,00 грн., ремонт організаційної техніки-5 000,00 грн., підготовка до опалювального сезону (обстеження вентиляції, ремонт коректора, ТО вузла обліку газу, ТО сигналізації загазованості, демонтаж/монтаж вузла обліку газу, ремонт і ТО коректора, встановлення модему в вузлі обліку газу)-46 091,00 грн., очистка септиків-7 207,20 грн., технічне обслуговування ТП-16 000,00 грн., встановлення ПЗ КБС-18 470,00 грн., ремонт роз'єднувача ТП-6 000,00 грн., встановлення системи відеонагляду-13 550,00 грн., ремонт ДПЖ-25 000,00 грн., медичний огляд-33 880,00 грн.</t>
  </si>
  <si>
    <t>Виготовлення ПКД  на капітальний ремонт дощової та водостічної системи в КНП Петрівський КДЦ</t>
  </si>
  <si>
    <t>«Медичне забезпечення пільгових та соціально незахищених верств населення Петрівської сільської територіальної громади на 2024 рік»</t>
  </si>
  <si>
    <r>
      <t>Програма «Медичне забезпечення пільгових та соціально незахищених верств населення Петрівської сільської територіальної громади на 2024 рік</t>
    </r>
    <r>
      <rPr>
        <sz val="12"/>
        <color theme="1"/>
        <rFont val="Calibri"/>
        <family val="2"/>
        <charset val="204"/>
        <scheme val="minor"/>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</si>
  <si>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Виконано в повному обсязі</t>
  </si>
  <si>
    <t>«Розвиток культури в Петрівській сільській територіальній громаді на 2024 рік»</t>
  </si>
  <si>
    <t>Програму «Розвиток культури в Петрівській сільській територіальній громаді на 2024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</si>
  <si>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Видатки на  2024 рік становлять:</t>
  </si>
  <si>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придбання канцелярських, господарських товарів та засобів гігієни - 21 425,65грн., (пакети для сміття, туалетний папір), щоденники для роботи бібілотеки - 1 855,00 грн.; підписка на період.видання - 17 464,00 грн.; 14 249,70 грн. - стільці 15 шт.; стенди для виставок 2 шт. - 5 000,04 грн.;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придбання канцелярських, господарських товарів та засобів гігієни - 32 752,15 грн.; товари для рем. господ.способом - 69 351,02грн.; електрообігрівач - 1 800,00 грн.; вода бутильована - 8 580,00 грн.; продукція для нагородження  - 4 687,00 грн.; журнали для гуртків - 1 309,94; діадеми - 2 133,00 грн.; студійні навушники, мікрофони, акустична система - 22 286,00 грн.; стільці 8 шт. - 7 599,84 грн.; елементи живлення - 960,00 грн.; килимок придверний - 321,05 грн.; ліхтарі світодіодні - 2 970,00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вода бутильована  - 13 728,00 грн., придбання канцелярських, господарських товарів та засобів гігієни - 83 770,93 грн.; інформаційні стенди 2 шт. -1 950,00 грн.; інвентар для провед робіт госп.спос.- 33 702,08 грн.; бензин - 41 993,00 грн.; джерела безперебійного живлення - 16 065,00 грн.; журнали гуртків - 1 741,93 грн.; студійні навушники, мікрофони, акустична система - 58 528,00 грн.; лампа настільна 8шт. - 4 999,68 грн.; рамки - 29 394,00 грн.; тканина в асортименті - 56 721,62 грн.; нитки - 3 682,80 грн; приймач радіосистеми - 5 569,98 грн.; ролети тканинні - 4 550,04 грн.; акумуляторна батарея - 10 077,00 грн.; праска, електрочайник - 1 561,32 грн.; елементи живлення - 6 720,00 грн.; продукція для нагородження  - 29 394,00 грн.</t>
    </r>
  </si>
  <si>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заправка катриджів, перезарядка вогнегасників, медичний огляд -13 473,8 грн.;</t>
    </r>
    <r>
      <rPr>
        <b/>
        <sz val="12"/>
        <color theme="1"/>
        <rFont val="Calibri"/>
        <family val="2"/>
        <charset val="204"/>
        <scheme val="minor"/>
      </rPr>
      <t xml:space="preserve"> 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автоперевезення - 10 000,00 грн.; обслговування  пожежної сигналізації, інтернет, послуги оповіщення про пожежу - 56 280,00 грн.; розробка документації на систему блискавкозахисту - 24 171,00 грн.; поточний ремонт покрівлі в сільському клубі - 10 892,18 грн.; перезарядка вогнегасників - 1 204,20 грн.; послуги з електричного вимірювання - 9 390,00 грн., поточний ремонт обладнення, заправка катриджів - 18 618,46 грн.; поточний ремонт димоходу Н.Петрівці - 40 000,00 грн.; медичний онляд - 13 125,00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автоперевезення - 4 200,00 грн., інтернет, телефон, технічне обслуговування газового обладнання, програма Медок, програма ІПК, послуги програмного забезпечення - 57 203,90 грн.; розробка документації на систему блискавкозахисту - 13 865,00 грн.; ремонт обладнення пожежної сигналізації - 53 530,55 грн.; заправка вогнегасників- 2 100,00 грн.; заправка кондиціонерів - 4 988,00 грн.; послуги з електричного вимірювання - 7 350,00 грн.; ппоф.огляд та тех.обсл.котлів - 8 000,00 грн.; технічне обслуговування вентиляційних каналів - 3 700,00 грн.; технічне обслуговування системи газопостачання об'єкта - 3 000,00 грн.; поточний ремонт обладнання - 22 930,00 грн.; підготовка до опалювального сезону - 29 130,00 грн., медичний огляд - 19 447,50 грн.; доступ до онлайн сервісів - 19 168,00 грн.; інформаційні послуги -8 500,00 грн.</t>
    </r>
  </si>
  <si>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придбання книг для поповнення фондів бібліотек - 98 911,00 грн.;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придбання баяна - 99 000,0 грн., придбання ноудбука -48 000,00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придбання будівельного вагончика  - 90 000,00 грн., арка надувна - 41 050,00 грн., ноутбук - 25 875,00 грн..</t>
    </r>
  </si>
  <si>
    <t>Програма «Підготовка до продажу земельних ділянок несільськогосподарського призначення комунальної власності або прав на них на 2024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</si>
  <si>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 xml:space="preserve"> на них на 2024 рік»</t>
  </si>
  <si>
    <t xml:space="preserve">Рекультивація території  полігону твердих побутових відходів </t>
  </si>
  <si>
    <t>«Розвиток земельних відносин на території Петрівської сільської територіальної громади на 2024 рік»</t>
  </si>
  <si>
    <t>Роботи із землеустрою щодо інвентаризації земель комунальної власності</t>
  </si>
  <si>
    <t>Оплата робіт по проведенню експерної грошової оцінки земельних ділянок</t>
  </si>
  <si>
    <t>Виготовлення технічної документації з землеустрою</t>
  </si>
  <si>
    <t xml:space="preserve">«Реформування та розвиток комунального господарства Петрівської сільської територіальної громади на 2024 рік» </t>
  </si>
  <si>
    <t>Бензин А-95 (2030 літрів) - 115 710,00 грн., Дизельне пальне - (5395 літрів) - 283 237,50 грн.</t>
  </si>
  <si>
    <t>Поточний ремонт очисних споруд  пров. 1го Травня в с.Нові Петрівці - 198 040,07 грн., Поточний ремонт адміністративної будівлі по вул.НовоКиївська 123 в с.Нові Петрівці - 197 327,54 грн.; Розроблення проекту землеустрою ділянки 0,1121га в с.Старі Петрівці - 15 000,00 грн.;  Розроблення проекту землеустрою ділянки 0,0607га в с.Старі Петрівці - 15 000,00 грн., Розроблення проекту землеустрою ділянки 0,0561га в с.Старі Петрівці - 15 000,00 грн., Поточний ремонт водопровідної мережі по вул. Цвілія в с. Лютіж - 198 507,08 грн, Поточний ремонт водопровідної мережі по вул. Межигірська в с. Старі Петрівці - 198 664,61 грн, Поточний ремонт водопровідної мережі по вул. Князя Святослава в с. Нові Петрівці - 198 632,72 грн, Поточний ремонт водопровідної мережі по вул. Межигірська в с. Нові Петрівці - 198 836,62 грн, Поточний ремонт водопровідної мережі по вул. Затишна в с. Нові Петрівці - 198 705,73 грн, Поточний ремонт внутрішніх електромереж водозабору по вул. 1-го Травня (Ділянкуа №1) в с.Нові Петрівці - 74 210,00грн.; Поточний ремонт внутрішніх електромереж водозабору по вул. 1-го Травня (Ділянкуа №2) в с.Нові Петрівці - 54 670,00грн., Виготовлення та монтаж навісів для генераторів с.Нові Петрівці, с. Старі Петрівці, с.Лютіж - 521 767,55 грн.; Поточний ремонт водопровідної мережі водозабору по вул. Захисників України в с. Старі Петрівці - 189 292,24 грн,; Виготовлення та монтаж навісів для генераторів с.Нові Петрівці, с. Старі Петрівці, с.Лютіж - 214 814,77 грн.;</t>
  </si>
  <si>
    <t>Придбання погружних фекальних  насосів</t>
  </si>
  <si>
    <t>придбання центробіжних насосів Pedrollo</t>
  </si>
  <si>
    <t>Придбання сетифікованого газоаналізатора</t>
  </si>
  <si>
    <t>Придбання  АВР для генераторів ( з монтажем)</t>
  </si>
  <si>
    <t>Придбання дизельгенераторів 40кВт для КП "Петрівський ККП"</t>
  </si>
  <si>
    <t>Придбання оргтехніки для КП "Петрівський ККП"</t>
  </si>
  <si>
    <t>"Розвиток комунального підприємства «Петрівський благоустрій» Петрівської сільської ради на 2024 рік"</t>
  </si>
  <si>
    <t>Придбання дискової борони навісної для КП «Петрівський благоустрій»</t>
  </si>
  <si>
    <t>Придбання мотопомпи для  КП «Петрівський благоустрій»</t>
  </si>
  <si>
    <t>Придбання ковша челюсного до навантажувача для КП «Петрівський благоустрій»</t>
  </si>
  <si>
    <t>Придбання мотоблоку з навісним обладнанням для КП «Петрівський благоустрій»</t>
  </si>
  <si>
    <t>Придбання олив</t>
  </si>
  <si>
    <t>Придбання медичних препаратів</t>
  </si>
  <si>
    <t>Придбання шафи та сейфу</t>
  </si>
  <si>
    <t>Придбання мийних та гігієнічних засобів</t>
  </si>
  <si>
    <t>Послуги з доступу до електронних видань</t>
  </si>
  <si>
    <t>Послуги з заправки балонів</t>
  </si>
  <si>
    <t>Послуги з відправлення</t>
  </si>
  <si>
    <t>Послуги з вантажних перевезень</t>
  </si>
  <si>
    <t>Послуги з навчання працівників</t>
  </si>
  <si>
    <t>Підтримки комунального некомерційного підприємства з рекультивації земель Старопетрівського сміттєзвалища "Петрівської сільської ради на 2024 рік"</t>
  </si>
  <si>
    <t xml:space="preserve">Канцтовари - 2 302,68 грн </t>
  </si>
  <si>
    <t>ІПК "Місцевий бюджет" - 2 900,00 грн., програма "М.Е.Doc" - 3 440,00 грн., послуги з пожежогасіння - 287 762,62 грн.</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</si>
  <si>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2024 рік"</t>
  </si>
  <si>
    <t>5. Матеріально-технічне забезпечення Збройних Сил України</t>
  </si>
  <si>
    <t>Матеріально - технічне забезпечення Збройних Сил України та інших військових формувань та установ (субвенції з бюджету громади)</t>
  </si>
  <si>
    <t>2024 рік</t>
  </si>
  <si>
    <t>Розміщення інформаційного матеріалу на військову тематику в засобах масової інформації</t>
  </si>
  <si>
    <r>
      <t xml:space="preserve">Придбання безпілотних авіаційних комплектів мультироторного типу , комплектуючих до них та засобів радіоелектронної боротьби для </t>
    </r>
    <r>
      <rPr>
        <sz val="13"/>
        <color rgb="FF000000"/>
        <rFont val="Times New Roman"/>
        <family val="1"/>
        <charset val="204"/>
      </rPr>
      <t xml:space="preserve"> військовій частині 3077 </t>
    </r>
    <r>
      <rPr>
        <sz val="13"/>
        <color theme="1"/>
        <rFont val="Times New Roman"/>
        <family val="1"/>
        <charset val="204"/>
      </rPr>
      <t>(субвенція з бюджету громади).</t>
    </r>
  </si>
  <si>
    <r>
      <t>Придбання  засобів радіоелектронної боротьби для</t>
    </r>
    <r>
      <rPr>
        <sz val="13"/>
        <color rgb="FF000000"/>
        <rFont val="Times New Roman"/>
        <family val="1"/>
        <charset val="204"/>
      </rPr>
      <t xml:space="preserve"> військовій частині А 4638 </t>
    </r>
    <r>
      <rPr>
        <sz val="13"/>
        <color theme="1"/>
        <rFont val="Times New Roman"/>
        <family val="1"/>
        <charset val="204"/>
      </rPr>
      <t>(субвенція з бюджету громади).</t>
    </r>
  </si>
  <si>
    <r>
      <t xml:space="preserve">Придбання дресирувальних костюмів повного захисту, дресирувальник рукавів та захисних рукавів на ноги на трьох застібках- липучках для роботи з собаками будь-якої породи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</si>
  <si>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шаф металевих вогнестійких  для </t>
    </r>
    <r>
      <rPr>
        <sz val="13"/>
        <color rgb="FF000000"/>
        <rFont val="Times New Roman"/>
        <family val="1"/>
        <charset val="204"/>
      </rPr>
      <t xml:space="preserve"> військовій частині А 3723 </t>
    </r>
    <r>
      <rPr>
        <sz val="13"/>
        <color theme="1"/>
        <rFont val="Times New Roman"/>
        <family val="1"/>
        <charset val="204"/>
      </rPr>
      <t>(субвенція з бюджету громади).</t>
    </r>
  </si>
  <si>
    <r>
      <t xml:space="preserve">Придбання окулярів віртуальної реальності </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</si>
  <si>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акустичної системи</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</si>
  <si>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автономної  акустичної системи</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</si>
  <si>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портативного проектора</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</si>
  <si>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 xml:space="preserve">Придбання комплектів підсилення зв’язку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</si>
  <si>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пневмогайковертів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</si>
  <si>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інверторних зарядних пристоїв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</si>
  <si>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теліжок для інструменту 1 та 5 секційних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</si>
  <si>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верстаків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</si>
  <si>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обладнання для тактичної, стрілецької та спеціальної підготовки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</si>
  <si>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t>з/п</t>
  </si>
  <si>
    <t>Назва заходу</t>
  </si>
  <si>
    <t>Термін виконання</t>
  </si>
  <si>
    <t>Обсяг фінансування</t>
  </si>
  <si>
    <t>Профінансовано</t>
  </si>
  <si>
    <t>Придбання тактичного літнього одягу для ДФПТГ</t>
  </si>
  <si>
    <t>Придбання тактичного літнього одягу (58 комплектів) та зимового одягу (бушлати 6 шт.) для ДФПТГ</t>
  </si>
  <si>
    <t>Придбання автоматичного зварювального апарату для оптоволокна DVP, автоматизованого робочого місця в комплекті, обладнання та устаткування для технічного обслуговування та ремонту автомобільної техніки для військовій частині А 3723  (субвенція з бюджету громади).</t>
  </si>
  <si>
    <t>Придбання запчастин та ремонт автомобіля  військовій частині А 4347  (субвенція з бюджету громади).</t>
  </si>
  <si>
    <t>На проектно-вишукувальні роботи в.ч. А 3723  (субвенція з бюджету громади).</t>
  </si>
  <si>
    <t>Придбання засобів захисту для особового складу військовій части 3077  (субвенція з бюджету громади).</t>
  </si>
  <si>
    <t>Програма виконана в межах запланованих видатків на 2024 рік.</t>
  </si>
  <si>
    <t>"Фінансова підтримка для забезпечення боєздатності та ліквідації надзвичайних ситуацій та їх наслідків 10-Державного пожежно-рятувального загону ГУ ДСНС у Київській області на 2024 рік"</t>
  </si>
  <si>
    <t>Пожежно-технічне оснащення</t>
  </si>
  <si>
    <t xml:space="preserve">Проведення ремонтних робіт пожежного депо 37-ДПРЧ </t>
  </si>
  <si>
    <t>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2024 рік</t>
  </si>
  <si>
    <t xml:space="preserve">Надання послуг з експлуатаційно-технічного обслуговування апаратури </t>
  </si>
  <si>
    <t>Придбання матеріалів, обладнання та інвентар</t>
  </si>
  <si>
    <t>Придбання джерела резервного живлення (генератор) з метою запобігання та ліквідації надзвичайних ситуацій та наслідків стихійного лиха ( 2 шт-5кВт, 1 шт-10кВт)</t>
  </si>
  <si>
    <t>Придбання джерел резервного живлення (генератор трьохфазний -5кВт)</t>
  </si>
  <si>
    <t xml:space="preserve">       Програма виконана в межах запланованих видатків на 2024 рік.</t>
  </si>
  <si>
    <t xml:space="preserve">Послуги з обстеження об’єкту (будинку) який постраждав внаслідок агресії РФ в с. Старі Петрівці , вул. Жовтнева,40А   </t>
  </si>
  <si>
    <t>Послуги з обстеження об’єкту (будинку) який постраждав внаслідок агресії РФ в с. Гута-Межегірська</t>
  </si>
  <si>
    <t>Оплата послуг до мережі інтернет</t>
  </si>
  <si>
    <t>"Інформування громадськості щодо діяльності органів місцевого самоврядування на території Петрівської сільської територіальної громади на  2024 рік"</t>
  </si>
  <si>
    <t>Висвітлення діяльності Петрівської сільської ради у засобах масової інформації</t>
  </si>
  <si>
    <t>Послуги хостінгу</t>
  </si>
  <si>
    <t xml:space="preserve">Інформаційні послуги з оновлення сайту </t>
  </si>
  <si>
    <t>«Капітальний ремонт (термомодернізація) адміністартивної будівлі за адресою: вулиця Князя Святослава,13 с. Старі Петрівці Вишгородського району Київської області»</t>
  </si>
  <si>
    <t>Проведення технічного та авторського нагляду  за виконання робіт з капітального ремонту з термомодернізацією адмінбудівлі по вул. Князя Святослава,13</t>
  </si>
  <si>
    <t>Капітальний ремонт системи енергозбереження шляхом влаштування СЕС КЗ Петрівська школа мистецтв</t>
  </si>
  <si>
    <t>"Розвиток комунального закладу «Петрівська школа мистецтв» Петрівської сільської ради на 2024 рік"</t>
  </si>
  <si>
    <t>Послуги з адміністрування (обслуговування) програмного забезпечення -9 900 грн, послуги інтернет провайдера - 9 900 грн, послуги з технічного обслуговування газових котлів - 7 000 грн, заправка катриджів -3 000 грн, експлуатація складових газорозподільної системи - 7 528,93 грн, інформаційно-консультаційні послуги (курс з військового обліку) - 6 400 грн, обслуговування програм.забезпечення інформ.-програм. комплексом "Місцевий бюджет" - 2 900 грн, постачання пакетів оновлень М.Е.Doc - 1 640 грн, послуги з повірки сигналізатора - 4 950 грн, послуги по виміру опору ізоляції - 6 500 грн.</t>
  </si>
  <si>
    <t>Капітальний ремонт вхідної групи та вимощення КЗ «Петрівська школа мистецтв "</t>
  </si>
  <si>
    <t xml:space="preserve">Придбання теплового вентилятора </t>
  </si>
  <si>
    <t>"Розробка містобудівної документації Петрівської сільської територіальної громади на 2024 рік"</t>
  </si>
  <si>
    <t xml:space="preserve">    Програма виконана в межах запланованих видатків на 2024 рік.</t>
  </si>
  <si>
    <t>Комплексний план просторового  розвитку території Петрівської сільської територіальної громади Вишгородського району Київської  області</t>
  </si>
  <si>
    <t>Внесення змін до генерального плану села Старі Петрівці</t>
  </si>
  <si>
    <t>Розроблення науково-проектної документації з виконання концепції інтегрованого розвитку території Петрівської територіальної громади та стратегії соціально-економічного розвитку території (із розрахунками бюджетних витрат) Петрівської територіальної громади</t>
  </si>
  <si>
    <t>Проведення рецензій на проект містобудівної документації "Внесення змін до Генерального плану с.Старі Петрівці"</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</si>
  <si>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2024 рік"</t>
  </si>
  <si>
    <t xml:space="preserve"> Програма виконана в межах запланованих видатків на 2024 рік.</t>
  </si>
  <si>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42 дітей-сиріт та дітей, позбавлених батьківського піклування.</t>
  </si>
  <si>
    <t>Пакети для сміття 30 шт - 2 860 грн, миючі засоби та мило рідке - 4 154 грн, рушники паперові 30 уп. - 1 365 грн, канц.товари - 22 183 грн, картридж - 2 220 грн, маршрутизатор TP-Link - 1 399 грн, радіатори сталеві 2 шт - 11 754 грн, друкована продукція (журнали, свідоцтва) - 3 219,20 грн., матеріали для ремонтних робіт (шпалери, клей, фарба, покриття для підлоги, OSB плити, двері, карнизи, тканина тюлева, жалюзі вертикальні) - 208 330,78 грн., стільці - 76 000 грн, матеріали для ремонту електромереж (LED панелі, вимикачі, розетки) - 15 005 грн.</t>
  </si>
  <si>
    <t>Безпечна Петрівська  громада на 2024 рік</t>
  </si>
  <si>
    <t>Поліцейський офіцер громади на 2024 рік</t>
  </si>
  <si>
    <t>Придбання систем відеоспостереження в комплекті  та встановлення  на території Петрівської громади</t>
  </si>
  <si>
    <t xml:space="preserve">Придбання 
паливно-мастильних 
матеріалів для службових автомобілів.
</t>
  </si>
  <si>
    <t xml:space="preserve">Технічне обслуговування службових автомобілів. </t>
  </si>
  <si>
    <t xml:space="preserve">Придбання меблів  </t>
  </si>
  <si>
    <t xml:space="preserve">Придбання  генератора  </t>
  </si>
  <si>
    <t>Придбання мобільного прінтера для офіцера громади</t>
  </si>
  <si>
    <t>Всього по загальному фонді</t>
  </si>
  <si>
    <t>Придбання кондиціонера</t>
  </si>
  <si>
    <t>Придбання  меблів</t>
  </si>
  <si>
    <t>Придбання джерела резервного живлення, а саме інверторні бензинові генератори</t>
  </si>
  <si>
    <t>Придбання автомобіля  Рено Дастер 1,5 дизель</t>
  </si>
  <si>
    <t>Виготовлення експертної грошової оцінки земельної ділянки</t>
  </si>
  <si>
    <t>Захист та утримання безпритульних тварин на території Петрівської сільської територіальної громади на 2024 рік</t>
  </si>
  <si>
    <t xml:space="preserve">Програма «Захисту та утримання безпритульних тварин на території Петрівської сільської територіальної громади на 2024 рік» (далі-Програма) визначає правові, організаційні і фінансові основи відносин щодо захисту безпритульних тварин на території Петрівської сільської територіальної громади, забезпечує участь фізичних осіб та громадських організацій у виконанні заходів спрямованих на регулювання чисельності безпритульних. Програма поширює свою дію лише на безпритульних тварин, тобто тварин, що залишились без догляду людини або утворили напіввільні угрупування, здатні розмножуватися поза контролем, у тому числі на тварин, незалежно від породи, належності та призначення, що мають нашийники з номерними знаками і намордники, але знаходяться без власника на вулицях, площах, ринках, у скверах, садах, у громадському транспорті, дворах та інших громадських місцях.
Програма спрямована на зменшення чисельності безпритульних тварин, що задовольнить як захисників тварин, так і їх супротивників, та є гуманним по відношенню до самих тварин. Програма також спрямована на роботу з населенням по впровадженню в суспільну свідомість стандартів гуманного поводження з тваринами.
Реалізація Програми повинна здійснюватись виключно гуманними методами, що виключають жорстоке поводження з тваринами, відповідно до діючого законодавства України.
Евтаназію тварин можливо застосовувати тільки у двох випадках:
1) за наявності письмового висновку ветеринарного лікаря у разі невиліковної хвороби тварини;
2) за наявності порушень у поведінці тварини, які є незворотними і не підлягають  змінам, та встановлені виключно ветеринарним лікарем.
Змістом Програми є проведення комплексу управлінських, економічних, правових заходів, що враховують закони екології направлених на зниження чисельності безпритульних тварин, а саме:
- проведення масової стерилізації та кастрації безпритульних тварин з їх поверненням до попереднього місця перебування і поступове, протягом декількох років, значне зниження  їх кількості;
- організація вилову безпритульних тварин гуманним способом;
- обов’язкова вакцинація виловлених тварин від сказу;
- активна робота з населенням про впровадженню в суспільну свідомість    стандартів гуманного поводження з тваринами і необхідності їх стерилізації.
</t>
  </si>
  <si>
    <t>Виконання заходів з відлову, стерилізації безпритульних тварин.</t>
  </si>
  <si>
    <t>Придбання кормів для безпритульних тварин</t>
  </si>
  <si>
    <t>Забезпечення охорони публічного порядку, зміцнення правопорядку, охорони прав і свобод громадян та профілактики правопорушень на території Петрівської сільської територіальної громади на 2024 рік</t>
  </si>
  <si>
    <t xml:space="preserve">Метою Програми є забезпечення реалізації законодавчих актів, які регулюють правовідносини у сфері громадського порядку та благоустрою населених пунктів, забезпечення ефективної реалізації державної політики на пріоритетному напрямку розвитку держави, а саме у сфері профілактики правопорушень, шляхом здійснення комплексу заходів, спрямованих на усунення причин та умов учинення протиправних діянь, а також налагодження дієвої співпраці правоохоронних органів, органів державної влади та місцевого самоврядування, а також вдосконаленні організації, засобів і методів запобігання і розкриття кримінальних правопорушень на території Петрівської сільської територіальної громади.
Досягненню цієї мети сприятимуть заходи, спрямовані на: 
- створення атмосфери суспільної нетерпимості до кримінальних та адміністративних правопорушень; 
- ослаблення криміногенних факторів; 
- запобігання і протидія корупції; 
- припинення зрощування кримінальних структур з органами державної влади, недопущення поширення і консолідації організованої та інших найбільш небезпечних форм злочинності; 
- обмеження незаконного обігу зброї, наркотичних засобів, кримінальних проявів, пияцтва і алкоголізму, проституції та інших супутніх протиправних явищ; 
- недопущення втягнення в злочинну діяльність нових соціальних груп, особливо неповнолітніх; 
- забезпечення належного рівня безпеки дорожнього руху на території Петрівської сільської територіальної громади; 
- широке залучення громадськості до забезпечення публічної безпеки і порядку; 
- профілактика правопорушень на території населеного пункту; 
- підвищення рівня інформованості населення з питань реального стану злочинності; 
- забезпечення дотримання населенням правопорядку (особливо у вечірній час); 
- створення сприятливих для життєдіяльності людини умов; 
- кадрове забезпечення здійснення охорони публічного порядку та профілактики правопорушень (укладення договору із відповідним формуванням про співпрацю з питань забезпечення охорони публічного порядку та профілактики правопорушень на території Петрівської сільської територіальної громади); 
- налагодження дієвої взаємодії Петрівської сільської територіальної громади та Вишгородського РУП ГУНП в Київській області з громадськістю. 
</t>
  </si>
  <si>
    <t>Проведення ремонту службового автомобіля CITROEN C5</t>
  </si>
  <si>
    <t xml:space="preserve">підтримки талановитих спортсменів
Петрівської сільської територіальної громади на 2024 рік
</t>
  </si>
  <si>
    <t xml:space="preserve">Головною метою Програми є створення умов для розвитку фізичної культури і спорту, різних його видів, а також, зміцнення здоров'я населення засобами фізичного виховання, фізичної культури, відведення провідної ролі фізичній культурі і спорту в громаді як важливому фактору здорового способу життя, профілактики захворювань, формування гуманістичних цінностей, створення умов для всебічного гармонійного розвитку людини, сприяння досягненню фізичної та духовної досконалості, виявлення резервних можливостей організму, формування патріотичних почуттів у громадян та позитивного іміджу громади.
Основними завданнями Програми є:
- забезпечити об’єднання зусиль у розвитку фізичної культури і спорту зацікавлених громадських та приватних організацій, широких верств населення Петрівської сільської територіальної громади;
- сформувати у населення традиції та мотивації щодо фізичного виховання і спорту, як важливих чинників забезпечення здорового способу життя;
- удосконалити форми залучення різних груп населення до регулярних та повноцінних занять фізичною культурою і спортом за місцем їх проживання, навчання, роботи та у місцях масового відпочинку;
- удосконалити систему формування та підготовки збірних команд різних вікових категорій з різних видів спорту;
- відзначити спортсменів, їх тренерів за активну участь та зайняті відповідні місця в місцевих, обласних змаганнях, турнірах, матчах та інших спортивних заходах матеріальними винагородами.
</t>
  </si>
  <si>
    <t>Одноразова виплата спортсменам за досягнення в спорті протягом року;</t>
  </si>
  <si>
    <t>Одноразова виплата особистому тренеру, який брав безпосередню участь у підготовці спортсмена, який здобув високі спортивні результати</t>
  </si>
  <si>
    <t xml:space="preserve">Одноразова матеріальна виплата 5-м спортсменам за високі досягнення в спорті, Одноразова матеріальна виплата 3-м тренерам, які брали безпосередню участь у підготовці спортсмена, який здобув високі спортивні результати </t>
  </si>
  <si>
    <t>"Підтримка державної політики у сфері казначейського обслуговування бюджетних коштів на 2024 рік"</t>
  </si>
  <si>
    <t>Головна мета Програми полягає в покращенні умов обслуговування розпорядників та одержувачів бюджетних коштів Вишгородського району на 2024 рік  та створення сприятливих умов праці фахівців Управління Державної казначейської служби України у Вишгородському районі Київської області , розпорядників та одержувачів бюджетних коштів для виконання ними конституційного обов’язку на належному рівні з метою своєчасної та якісної реалізації державної політики у сфері казначейського обслуговування бюджетних коштів, усунення причин та умов вчинення порушень бюджетного законодавства, а також налагодження дієвої співпраці Державної казначейської служби та органів місцевого самоврядування.</t>
  </si>
  <si>
    <t>Оновлення комп’ютерної техніки та кібербезпеки</t>
  </si>
  <si>
    <t>Сплата щорічних членських внесків до Всеукраїнської Асоціації органів місцевого самоврядування «Асоціація міст України</t>
  </si>
  <si>
    <t xml:space="preserve">Сплата  членського внеску до Київського регіонального відділення  органів місцевого самоврядування </t>
  </si>
  <si>
    <t xml:space="preserve">Про сплату членських внесків Всеукраїнській асоціації органів місцевого самоврядування «Асоціація міст України» на 2024 рік
</t>
  </si>
  <si>
    <t xml:space="preserve">Петрівська сільська рада входить до Всеукраїнської асоціації органів місцевого самоврядування «Асоціація міст України»  (далі – Асоціація). Ця Асоціація створена для сприяння розвитку місцевого самоврядування в Україні, для захисту конституційних прав та свобод громад, сприяння розвитку місцевого самоврядування та удосконалення його законодавчої бази, сприяння соціально економічного розвитку громади, захисту прав та законодавчих інтересів громад органів місцевого самоврядування, їх посадових осіб, сприяння обміном досвіду в розв’язанні питань місцевого розвитку, надання членам інформаційних послуг, консультаційної, методичної та практичної допомоги. Членство Петрівської сільської  ради в асоціації міст України - це реальна можливість для створення більш сприятливих умов для ефективного здійснення повноважень місцевого самоврядування, яка сприяє розвитку місцевого самоврядування та забезпечує інформаційно - правовою допомогою сільську раду у здійсненні нею своїх повноважень. Ця програма створена з метою більш ефективного здійснення  Петрівською сільською радою своїх повноважень, узгодження дій органів  місцевого самоврядування щодо захисту прав та інтересів територіальних  громад, сприяння місцевому та регіональному розвитку. До основних завдань Програми відносяться:
- об’єднання зусиль органів місцевого самоврядування щодо захисту прав  законних інтересів відповідних територіальних громад, розв’язання спільних для територіальних громад проблем, обміну досвідом, створення умов для більш ефективного здійснення повноважень місцевого самоврядування,
- отримання методичної, правової та інформаційної допомоги у здійсненні  Жовківською міською радою своїх повноважень,
- підвищення ефективності підготовки та перепідготовки посадових осіб  місцевого самоврядування, підвищення їх кваліфікації.
На виконання завдання програми планується здійснити наступні заходи:
- сплата щорічних членських внесків до Всеукраїнської Асоціації органів місцевого самоврядування «Асоціація міст України»
- сплата членського внеску до Київського регіонального відділення  органів місцевого самоврядування .
</t>
  </si>
  <si>
    <t>"Підтримка та розвиток комунального закладу Петрівської сільської ради «Культурно-освітній центр «Берегиня» на 2024 рік"</t>
  </si>
  <si>
    <t xml:space="preserve">Програма визначає стратегію збереження, підтримки та розвитку національно - культурного та патріотичного виховання на території  громади, збереження та розвиток кадрового потенціалу галузі, забезпечення належних соціальних умов для її працівників. Основні завдання Програми:
- створення умов для належного функціонування культурно закладу, надання якісних культурно - освітніх послуг для всіх верств населення, особливо дітей та юнацтва;
- пропагування серед населення ефективного використання вільного часу, проведення змістовного дозвілля, ознайомлення з історико-культурною спадщиною, природним середовищем;
- підготовка та проведення урочистостей, мітингів, державних та професійних свят, відзначення культурно-освітніх та мистецьких заходів обласного, районного та місцевого значення, забезпечення їх проведення наочно-художнім, видовищним та аудіо-відео оформленням;
- забезпечення участі творчих колективів, колективів художньої самодіяльності і окремих виконавців та жителів громади у проведенні фестивалів, конкурсів – оглядів, семінарів-тренінгів, науково-практичних конференцій, інших культурно-мистецьких, історико-культурних заходів обласного, районного, сільського та місцевого значення;
- відродження та розвиток української культури, популяризація історико-культурної спадщини громади, розвиток екскурсійно-туристичної діяльності;
- формування національної свідомості та почуття патріотизму;
- проведення культурно-мистецьких заходів;
- відзначення кращих працівників культурно-освітніх закладів та переможців конкурсів-оглядів та фестивалів тощо.
</t>
  </si>
  <si>
    <t>Програма ІПК.Місцевий бюджет - 2 900,00 грн., програмне забезпечення Ме.Doc - 4 010,00 грн.</t>
  </si>
  <si>
    <t>Придбання інвекторного генератора для  КЗ «Культурно-освітній центр «Берегиня» - 30 000,00грн.</t>
  </si>
  <si>
    <t>канцтовари- 32 420,66 грн.; настільні ігри - 4 900,00 грн.; ноутбук - 19 999,00 грн.; токени - 10 200,00 грн.; банери - 10 000,00 грн.</t>
  </si>
  <si>
    <t>Облаштування переходу в с. Лютіж між вул. Сердитого та Рильського</t>
  </si>
  <si>
    <t>Поточний ремонт дорожнього покриття по вул. Межигірська в с.Нові Петрівці</t>
  </si>
  <si>
    <t>Ямковий ремонт</t>
  </si>
  <si>
    <t xml:space="preserve">Встановлення пристроїв примусового зниження швидкості, дорожніх знаків,  засобів регулювання руху 
Нанесення дорожньої розмітки
</t>
  </si>
  <si>
    <t>Зовнішнє освітлення населених пунтків (тех.обслуг.)</t>
  </si>
  <si>
    <t>Оплата за спожиту електроенергію лініями зовнішнього освітлення</t>
  </si>
  <si>
    <t xml:space="preserve">Послуги зі збирання сміття  та ліквідація стихійних сміттєзвалищ , відходів </t>
  </si>
  <si>
    <t>Посуги з  обслуговування світлофорних об’єктів</t>
  </si>
  <si>
    <t>Облаштування контейнерних майданчиків для сміття на території Петрівської сільської територіальної громади</t>
  </si>
  <si>
    <t>Послуги з чищення дренажних колодязів</t>
  </si>
  <si>
    <t xml:space="preserve">Профілювання, грейдерування доріг громади з грунтовощебене вим покриттям, які перебувають в комунальній власності </t>
  </si>
  <si>
    <t xml:space="preserve">Зимове утримання доріг (очищення від снігу та обробка протиожеледни ми сумішами) </t>
  </si>
  <si>
    <t>Придбання елементів для дитячого майданчиків</t>
  </si>
  <si>
    <t>Придбання ліхтарів</t>
  </si>
  <si>
    <t>Придбання павільйонів для зупинок громадського транспорту</t>
  </si>
  <si>
    <t>Послуги з винесення та переобладнання ділянки ЛЕП-10кВ Л-60 «Північна» від ПС 110/10 кВ «Нові Петрівці» та ТП- 10/0,4 кВ №808 за межі дороги по вул. Соборна</t>
  </si>
  <si>
    <t xml:space="preserve">Облаштування доріжки на кладовищі по вул. Соборна в с. Нові Петрівці  </t>
  </si>
  <si>
    <t>Поточний ремонт контейнерних майданчиків</t>
  </si>
  <si>
    <t xml:space="preserve"> Поточний ремонт мережі вуличного освітлення по вул. Преображенська в с.Нові Петрівці  </t>
  </si>
  <si>
    <t xml:space="preserve">Послуги з поточного ремонту, технічному обслуговуванню об’єктів благоустрою </t>
  </si>
  <si>
    <t>Придбання табличок для встановлення їх на території Петрівської громади</t>
  </si>
  <si>
    <t>Придбання вуличних вказівників</t>
  </si>
  <si>
    <t>зменшити 5700</t>
  </si>
  <si>
    <t>Поточний ремонт вуличного освітлення по вул. Вишнева в селі Нові Петрівці</t>
  </si>
  <si>
    <t>зменшити 67250-89500</t>
  </si>
  <si>
    <t>мінус 232975 -7000-194892-65141+2500000</t>
  </si>
  <si>
    <t>зменшити 24859+550000</t>
  </si>
  <si>
    <t>Поточний ремонт конструкції «Оберіг» в селі Лютіж</t>
  </si>
  <si>
    <t>Проект витвору мистецтва, а саме: архітектурно-скульптурної композиції «Ні війні» пам’ятник «Загиблим дітям»</t>
  </si>
  <si>
    <t>Поточний ремонт освітлення пішохідних переходів та електричних мереж їх живлення</t>
  </si>
  <si>
    <t>Поточний ремонт дощової каналізації по вул. Свято-Покровська,76-78 в с. Нові Петрівці</t>
  </si>
  <si>
    <t>зменшити 89024</t>
  </si>
  <si>
    <t>Проведення ямковий ремонт</t>
  </si>
  <si>
    <t>зроблено - 149937</t>
  </si>
  <si>
    <t>Встановлення та обслуговування  павільйонів для  зупинок громадського транспорту</t>
  </si>
  <si>
    <t>об’єктів комунальної власності Петрівської сільської територіальної  громади на 2024 рік»</t>
  </si>
  <si>
    <t xml:space="preserve">У 2024 році фактичні видатки на Програму склали:  </t>
  </si>
  <si>
    <t>Капітальний ремонт приміщень КЗДО(ЯС) "Пролісок" в с.Старі Петрівці</t>
  </si>
  <si>
    <t>Капітальний ремонт котельні в КЗДО (ЦРЛ)  "Барвінок" в с.Лютіж</t>
  </si>
  <si>
    <t>Капітальний ремонт вентиляції в найпростішому укритті КЗДО(ЯС) КТ «Петрик»</t>
  </si>
  <si>
    <t>Виготовлення ПКД на капітальний ремонт  вентиляції в найпростішому укритті в КЗДО(ЯС) КТ «Петрик»</t>
  </si>
  <si>
    <t>Проведення технічного та авторського нагляду  за виконання робіт з капітального ремонту приміщень КЗДО(ЯС)» Пролісок»</t>
  </si>
  <si>
    <t>Капітальний ремонт гідроізоляції 3 секції найпростішого укриття  КЗДО(ЯС) КТ «Петрик»</t>
  </si>
  <si>
    <t xml:space="preserve">Капітальний ремонт підлоги 2 секція  (улаштування ліноліума) в споруді цивільного захист, найпростішого укриття  КЗДО(ЯС) КТ «Петрик» </t>
  </si>
  <si>
    <t>Капітальний ремонт пожежних резервуарів (2 шт) ) КЗДО(ЯС) КТ «Петрик»</t>
  </si>
  <si>
    <t>Капітальний ремонт в найпростішому укритті в КЗДО(ЯС)КТ «Петрик»</t>
  </si>
  <si>
    <t>Капітальний ремонт  найпростішого укриття КЗДО(ЯС)КТ» Петрик</t>
  </si>
  <si>
    <t>Субвенція з обласного бюджету на Капітальний ремонт приміщень КЗ дошкільної освіти (ЯС) комбінованого типу «Пролісок»</t>
  </si>
  <si>
    <t>Капітальний ремонт зовнішніх мереж теплопостачання в Петрівському ліцеї в с.Нові Петрівці</t>
  </si>
  <si>
    <t>Капітальний ремонт вентиляції в найпростішому укритті Петрівського ліцею</t>
  </si>
  <si>
    <t>Капітальний ремонт із заходами енергозбереження , енергоефективності, термомодернізацією Новопетрівської гімназії №1 Петрівської сільської ради за  адресою : Київська область, Вишгородський район, с.Нові Петрівці, вул. Свято-Покровська,52( будівлі літери А, Д та Е</t>
  </si>
  <si>
    <t xml:space="preserve">Виготовлення ПКД на капітальний ремонт  вентиляції в найпростішому укритті в Петрівському </t>
  </si>
  <si>
    <t xml:space="preserve">Виготовлення ПКД  на капітальний ремонт дощової та водостічної системи в Новопетрівському </t>
  </si>
  <si>
    <t>Виготовлення ПКД  на капітальний ремонт дощової та водостічної системи в  Петрівському  ліцею</t>
  </si>
  <si>
    <t>Капітальний ремонт вхідної групи в Новопетрівській гімназії №2</t>
  </si>
  <si>
    <t xml:space="preserve">Виготовлення ПКД  на капітальний ремонт дощової та водостічної системи в Лютізькому  </t>
  </si>
  <si>
    <t>Капітальний ремонт приточної вентиляції  в найпростішому укритті Петрівського ліцею</t>
  </si>
  <si>
    <t>Капітальний ремонт санвузлів 1-го та 2-го поверхів Петрівського ліцею</t>
  </si>
  <si>
    <t>Коригування ПКД по об’єкту "Капітальний ремонт з благоустроєм Лютізький ліцей "</t>
  </si>
  <si>
    <t>Капітальний ремонт санвузла для забезпечення доступності маломобільних груп населення в КНП Петрівський КДЦ</t>
  </si>
  <si>
    <t>Капітальний ремонт покрівлі  котельні в  КНП"Петрівський консультативно-діагностичний центр"</t>
  </si>
  <si>
    <t>Капітальний ремонт джерел резервного живлення  в КНП Петрівський КДЦ</t>
  </si>
  <si>
    <t>Капітальний ремонт покрівлі гаража в  КНП"Петрівський консультативно-діагностичний центр"</t>
  </si>
  <si>
    <t>Виготовлення ПКД на капітальний ремонт приміщення в  КЗ «Культурно-освітній центр «Берегиня»</t>
  </si>
  <si>
    <t>Виготовлення ПКД «Капітальний ремонт мережі водопроводу по вул. Власова,, Героїв та Жовтнева в с.Старі Петрівці Вишгородського району Київської області</t>
  </si>
  <si>
    <t>Капітальний ремонт елементів благоустрою в с. Лютіж  по вул. Визволителів,51 на прибудинковій території Лютізького ліцею (Алея пам’яті та Слави)</t>
  </si>
  <si>
    <t>Капітальний ремонт елементів благоустрою в с.Гута- Межигірська по вул. Силкіна (центр села)  на території , яка прилягає до пам»ятника –меморіалу Другої світової війни (Алея пам’яті та Слави)</t>
  </si>
  <si>
    <t>Виготовлення ппоектно-кошторисної документації  «Нове будівництво свердловини за адресою :вул. Межигірська в с.Нові Петрівці Вишгородського району Київської області"</t>
  </si>
  <si>
    <t>Коригування ПКД по об»єкту «Будівництво водозабірного вузла по вул. Ново-Київська в с.Нові Петрівці Вишгородського району Київської області для КП «Петрівський ККП"</t>
  </si>
  <si>
    <t>Нове будівництво свердловини за адресою :вул. Межигірська в с.Нові Петрівці Вишгородського району Київської області для КП «Петрівський ККП»</t>
  </si>
  <si>
    <t>Коригування проектно-кошторисної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</si>
  <si>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Будівництво водозабірного вузла по вул. Ново-Київська в с.Нові Петрівці Вишгородського району Київської області</t>
  </si>
  <si>
    <t>ПКД «Нове будівництво каналізаційної насосоної станції на вул. Соборна,87А в с.Нові Петрівці Вишгородського району Київської області</t>
  </si>
  <si>
    <t>Розробка ПКД "Будівництво освітнього комплексу "Дитячий садок початкова школа " на вулиці Соборна №114  в селі Нові Петрівці Вишгородського району Київської області</t>
  </si>
  <si>
    <t xml:space="preserve">Коригування ПКД по об»єкту «Нове будівництво захисної споруди цивільного захисту (протирадіоційного укриття)  Новопетрівського ліцею Петрівської сільської ради за адресою:Київська область, Вишгородський район ,с.Нові Петрівці, вул. Ярослава Мудрого,14» </t>
  </si>
  <si>
    <t>Нове  будівництво захисної споруди цивільного захисту (протирадіоційного укриття) Новопетрівського ліцеюПетрівської сільської ради за адресою:Київська область, Вишгородський район,с.Нові Петрівці, вул. Ярослава Мудрого,14</t>
  </si>
  <si>
    <t>Коригування ПКД по об»єкту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Свято-Покровська,52 )</t>
  </si>
  <si>
    <t>Розробка ПКД на реконструкцію систем газопостачання  Лютізького ліцею</t>
  </si>
  <si>
    <t>Експертиза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Свято-Покровська,52</t>
  </si>
  <si>
    <t>Нове  будівництво захисної споруди цивільного захисту (протирадіоційного укриття) Новопетрівського ліцеюПетрівської сільської ради за адресою:Київська область, Вишгородський район,с.Нові Петрівці, вул. Ярослава Мудрого,14 (авторський нагляд)</t>
  </si>
  <si>
    <t>Розробка ПКД на реконструкцію систем газопостачання  КУ «Центр надання соціальних послуг»</t>
  </si>
  <si>
    <t>Розробка проектної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</si>
  <si>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Розробка проектно – кошторисної документації по б’єкту: "Будівництво каналізаційних очисних споруд закритого типу для глибокого очищення господарсько-побутових стічних вод продуктивністю 7000 м3/ 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відновлювального джерела енергії, розташованих в с. Нові Петрівці Вишгородського р-ну Київської області"</t>
  </si>
  <si>
    <t>Будівництво світлофорного об'єкту на перехресті вул. Свято-Покровської в с. Нові Петрівці та вул. Князя Святослава в с. Старі Петрівці Вишгородського району Київської області</t>
  </si>
  <si>
    <t>Виготовлення ПКД   «Будівництво світлофорного об'єкту на перехресті вул. Свято-Покровської в с. Нові Петрівці та вул. Князя Святослава в с. Старі Петрівці Вишгородського району Київської області»</t>
  </si>
  <si>
    <t>Реконструкція електричних мереж в частині винесення та переобладнання ділянки ЛЕП-10кВ Л-60 "Північна" від ПС 110/10 кВ "Н.Петрівці" та ТП-10/0,4кВ №808 за межі дороги по вул. Соборна, Петрівська сільська рада</t>
  </si>
  <si>
    <t xml:space="preserve">Реконструкція ТП-352 для приєднання до електричних мереж центру культури та дозвілля Петрівської сільської ради, кад.№3221885201:05:281:0002 в с. Лютіж, Вишгородського району, Київської області.    </t>
  </si>
  <si>
    <t xml:space="preserve">Розробку проектної документації по об»єкту : « Реконструкція ЛЕП-10-0,4 кВ, пов»язана з винесенням та переобладнанням ділянки ЛЕП-10 кВ Л-38  «Васильєва» від ПС «Нові Петрівці» , ЛЕП-0,4 кВ від ТР-10/0,4 кВ №454 та ЛЕП-0,4 кВ від ТП-10/0,4 кВ №1702, переобладнанням ТП №1702 та ТП №454 в с.Нові Петрівці Вишгородського району Київської області </t>
  </si>
  <si>
    <t>Будівництво каналізаційного колектору по провулку 1-гоТравня та вул. Луцька  в с. Нові Петрівці Вишгородського</t>
  </si>
  <si>
    <t>Виконання експертизм ПКД по об»єкту : Реконструкція ЛЕП- 10-0,4 кВ, пов"язана з винесення  та переобладнання ділянки ЛЕП-10кВ Л-1 "Лютіж" від ПС 110/35/10 кВ "Демидів ", ЛЕП-0,4кВ Л-1,Л-2,Л-3,Л-4,Л-7 від ТП10/04кВ №403 та переобладнання ТП-10/04кВ №403 Петрівської сільської ради в с.Лютіж Вишгородського району Київської області . І черга будівництва (Мережі 10кВ)</t>
  </si>
  <si>
    <t>Виконання експертизи ПКД по об»єкту : Розробка проектно-кошторисної документації « Реконструкція ЛЕП- 10-0,4 кВ, пов"язана з винесення  та переобладнання ділянки ЛЕП-10кВ Л-1 "Лютіж" від ПС 110/35/10 кВ "Демидів ", ЛЕП-0,4кВ Л-1,Л-2,Л-3,Л-4,Л-7 від ТП10/04кВ №403 та переобладнання ТП-10/04кВ №403 Петрівської сільської ради в с.Лютіж Вишгородського району Київської області . ІІ черга будівництва (Мережі 0,4 кВ)"</t>
  </si>
  <si>
    <t xml:space="preserve">Капітальний ремонт під'їзної дороги до ДНЗ з вулиці Ново-Київської в с. Нові Петрівці Вишгородського району Київської області    </t>
  </si>
  <si>
    <t>Коригування ПКД по об»єкту  :Капітальний ремонт під'їзної дороги до ДНЗ з вулиці Ново-Київської в с. Нові Петрівці Вишгородського району Київської області</t>
  </si>
  <si>
    <t>Придбання земельної ділянки зг рішення сесії №1904 від 24.04.2024 року</t>
  </si>
  <si>
    <t>«Підтримка та розвиток освітніх закладів у Петрівській сільській територіальній громаді на 2024 рік»</t>
  </si>
  <si>
    <r>
      <rPr>
        <b/>
        <sz val="12"/>
        <color theme="1"/>
        <rFont val="Calibri"/>
        <family val="2"/>
        <charset val="204"/>
        <scheme val="minor"/>
      </rPr>
      <t xml:space="preserve">Новопетрівський ліцей: </t>
    </r>
    <r>
      <rPr>
        <sz val="12"/>
        <color theme="1"/>
        <rFont val="Calibri"/>
        <family val="2"/>
        <charset val="204"/>
        <scheme val="minor"/>
      </rPr>
      <t xml:space="preserve">оплата стипендій - 130 400,00 грн.; </t>
    </r>
    <r>
      <rPr>
        <b/>
        <sz val="12"/>
        <color theme="1"/>
        <rFont val="Calibri"/>
        <family val="2"/>
        <charset val="204"/>
        <scheme val="minor"/>
      </rPr>
      <t>Новопетрівська гімназія</t>
    </r>
    <r>
      <rPr>
        <sz val="12"/>
        <color theme="1"/>
        <rFont val="Calibri"/>
        <family val="2"/>
        <charset val="204"/>
        <scheme val="minor"/>
      </rPr>
      <t xml:space="preserve">: виплата стипендії 4 800,00 грн.; </t>
    </r>
    <r>
      <rPr>
        <b/>
        <sz val="12"/>
        <color theme="1"/>
        <rFont val="Calibri"/>
        <family val="2"/>
        <charset val="204"/>
        <scheme val="minor"/>
      </rPr>
      <t>Петрівський ліцей</t>
    </r>
    <r>
      <rPr>
        <sz val="12"/>
        <color theme="1"/>
        <rFont val="Calibri"/>
        <family val="2"/>
        <charset val="204"/>
        <scheme val="minor"/>
      </rPr>
      <t xml:space="preserve">:  виплата стипендії 38 400,00 грн.; </t>
    </r>
    <r>
      <rPr>
        <b/>
        <sz val="12"/>
        <color theme="1"/>
        <rFont val="Calibri"/>
        <family val="2"/>
        <charset val="204"/>
        <scheme val="minor"/>
      </rPr>
      <t>Лютіжський ліцей</t>
    </r>
    <r>
      <rPr>
        <sz val="12"/>
        <color theme="1"/>
        <rFont val="Calibri"/>
        <family val="2"/>
        <charset val="204"/>
        <scheme val="minor"/>
      </rPr>
      <t>: виплата стипендії 43 200,00 грн.</t>
    </r>
  </si>
  <si>
    <t>Придбання кондиціонерів- теплоносіїв для укриття</t>
  </si>
  <si>
    <t>Придбання теплових вентиляторів для укриття в КЗДО(ЯС) КТ «Петрик»</t>
  </si>
  <si>
    <t>Придбання кондиціонерів для  КЗДО(ЯС) КТ «Петрик»</t>
  </si>
  <si>
    <t>Придбання навісу для  КЗДО(ЯС) КТ «Петрик»</t>
  </si>
  <si>
    <t>Придбання товарів для облаштування споруд цивільного захисту, найпростішого укриття електрокотлів (2 шт)  для  КЗДО(ЯС) КТ «Петрик»</t>
  </si>
  <si>
    <t>Придбання сонячної електростанції 12кВт для КЗДО(ЯС) КТ»Пролісок»</t>
  </si>
  <si>
    <t>Придбання плита електричної  промислова(2шт) для  КЗДО(ЯС) КТ «Петрик»</t>
  </si>
  <si>
    <t>Придбання пароконвектомат для  КЗДО(ЯС) КТ «Петрик»</t>
  </si>
  <si>
    <t>Придбання посудомийних машин (2 шт) для  КЗДО(ЯС) КТ «Петрик»</t>
  </si>
  <si>
    <t>Придбання пароконвектомату  для  КЗДО(ЯС)КТ»Пролісок</t>
  </si>
  <si>
    <t>Придбання пароконвектомату для  КЗДО» Центр розвитку дитини " Барвінок "</t>
  </si>
  <si>
    <t>Придбання верстата деревообробного для  КЗДО(ЯС) КТ «Петрик"</t>
  </si>
  <si>
    <t>Придбання підлогомийної машини для  КЗДО(ЯС) КТ «Петрик»</t>
  </si>
  <si>
    <t>Придбання стійки для присідів для спортивної зали для Лютізьського ліцею</t>
  </si>
  <si>
    <t>Придбання акумуляторної батареї для сонячних панелей для Новопетрівської гімназії</t>
  </si>
  <si>
    <t>Придбання каналізаційної установки для Петрівського ліцею</t>
  </si>
  <si>
    <t>Придбання зарядної станції  для Петрівського ліцею EcoFlow</t>
  </si>
  <si>
    <t>Придбання зарядної станції для Новопетрівського ліцею</t>
  </si>
  <si>
    <r>
      <t xml:space="preserve">       Програма "Підтримка та розвиток освітніх закладів у Петрівській сільській територіальній громаді на 2023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1"/>
        <color theme="1"/>
        <rFont val="Calibri"/>
        <family val="2"/>
        <charset val="204"/>
        <scheme val="minor"/>
      </rPr>
      <t xml:space="preserve">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 </t>
    </r>
    <r>
      <rPr>
        <u/>
        <sz val="11"/>
        <color theme="1"/>
        <rFont val="Calibri"/>
        <family val="2"/>
        <charset val="204"/>
        <scheme val="minor"/>
      </rPr>
      <t>4 закладів загальної середньої освіти</t>
    </r>
    <r>
      <rPr>
        <sz val="11"/>
        <color theme="1"/>
        <rFont val="Calibri"/>
        <family val="2"/>
        <charset val="204"/>
        <scheme val="minor"/>
      </rPr>
      <t xml:space="preserve">:                                                                                                                                          Новопетрівський ліцей Петрівської сільської ради 
Новопетрівська гімназія  Петрівської сільської ради 
Петрівський ліцей Петрівської сільської ради
Лютізький ліцей  Петрівської сільської ради.                                                                                                                                               </t>
    </r>
    <r>
      <rPr>
        <u/>
        <sz val="11"/>
        <color theme="1"/>
        <rFont val="Calibri"/>
        <family val="2"/>
        <charset val="204"/>
        <scheme val="minor"/>
      </rPr>
      <t xml:space="preserve">Заклади дошкільної освіти </t>
    </r>
    <r>
      <rPr>
        <sz val="11"/>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Комунальний заклад дошкільної освіти (ясла-садок) комбінованого типу «Петрик» Петрівської сільської ради.  
</t>
    </r>
  </si>
  <si>
    <r>
      <rPr>
        <b/>
        <sz val="12"/>
        <color theme="1"/>
        <rFont val="Calibri"/>
        <family val="2"/>
        <charset val="204"/>
        <scheme val="minor"/>
      </rPr>
      <t>КЗ "Петрик"</t>
    </r>
    <r>
      <rPr>
        <sz val="12"/>
        <color theme="1"/>
        <rFont val="Calibri"/>
        <family val="2"/>
        <charset val="204"/>
        <scheme val="minor"/>
      </rPr>
      <t>: послуги аудиту - 15 000,00 грн, 36 298,90 грн  – послуги зв`язку та інтернету, ремонт засувок пожежних резервуарів - 65 345,94 грн, вимір опору ізоляції - 4 800,00 грн, за інформаційно консультативні послуги та послуги по виготовлення ключів -3 644,00 грн, облаштування споруд цивільного захисту  - 519 684,84 грн, 2 400,00 грн - за тривожну кнопку 2024 р., повірки вимірювальної техніки - 6 012,00 грн, послуги з обслуговуванню програми КВС, ЛОГІКИ - 34 200,00 грн, 36 000,00 грн – за заправку катріджів, чистка килимів - 14 400,00 грн, медогляд працівників - 99 986,40 грн, обслуговування вогнегасників - 4 761,00 грн, послури санстанції - 20 838,79 грн., послуги з дератизації та дезинфекції - 42 000,00 грн, техобслуговування пристроїв відеонагляду - 49 800,00 грн, обслуговування газопроводів - 17 932,61 грн, обслуговування вузла обліку газу - 25 200,00 грн, 46 074,00 грн - за технічне обслуговування системи автоматичної пожежної сигналізації , вентиляції, обслуговування димових каналів - 4 500,00 грн, 36 000,00 грн – послуги з технічного обслуговування газового, твердопаливного та тепломеханічного обладнання котельні, 108 060,00 грн – за обслуговування комп`ютерної техніки, послуги з обслуговування внутрішніх електромереж - 97 000,00 грн, обслуговування холодильних установок - 14 000,00 грн,за технагляд - 4 000,00 грн.;</t>
    </r>
    <r>
      <rPr>
        <b/>
        <sz val="12"/>
        <color theme="1"/>
        <rFont val="Calibri"/>
        <family val="2"/>
        <charset val="204"/>
        <scheme val="minor"/>
      </rPr>
      <t xml:space="preserve"> КЗ "Пролісок":</t>
    </r>
    <r>
      <rPr>
        <sz val="12"/>
        <color theme="1"/>
        <rFont val="Calibri"/>
        <family val="2"/>
        <charset val="204"/>
        <scheme val="minor"/>
      </rPr>
      <t xml:space="preserve"> Послуги по встановленню програмного забезпечення та налаштування бухгалтерської програми - 22 050,00 грн., оновлення комп’ютерної програми «Медок» - 6 585,00 грн., перший запуск та налаштування генератора – 2 000,00 грн., послуги з проведення вогнезахисту дерев’яних конструкцій – 97 754,88 грн., діагностика системи блискавкозахисту – 4 280,00 грн., технічне обслуговування газового котла - 2 400,00 грн., технічне обслуговування вузлів обліку газу - 4 900,00 грн., технічне обслуговування сигналізаторів загазованості - 3 200,00 грн., повірка та діагностика сигналізації загазованості - 4 950,00 грн., перевірка придатності до експлуатації вентиляційних та димових каналів - 2 000,00 грн., послуги Укртелекому – 3 758,00 грн., технічне обслуговування пожежної сигналізації – 6 000,00 грн., послуги охорони (тривожна кнопка) – 2 400,00 грн., телекомунікаційні послуги – доступ до мережі Інтернет – 10 890,00 грн., дератизація та дезінфекція – 24 000,00 грн., медичні огляди працівників – 45 590,00 грн., технічне обслуговування газового обладнання – 4 361,59 грн., обслуговування систем відеоспостереження – 22 800,00 грн., послуги асенізатора – 26 250,00 грн., послуги проведення санітарно-гігієнічних та санітарно-мікробіологічних досліджень води водопроводу, грунту, піску, мікроклімату температури та вологості повітря – 9 054,26 грн.,  обслуговування та заправка картриджів – 4 000,00 грн., обслуговування програмного забезпечення – 3 300,00 грн. та надання доступу в режимі он-лайн до електронних баз наукової та науково-технічної інформації – 18 450,00 гривень.; </t>
    </r>
    <r>
      <rPr>
        <b/>
        <sz val="12"/>
        <color theme="1"/>
        <rFont val="Calibri"/>
        <family val="2"/>
        <charset val="204"/>
        <scheme val="minor"/>
      </rPr>
      <t xml:space="preserve">КЗ "Барвінок": </t>
    </r>
    <r>
      <rPr>
        <sz val="12"/>
        <color theme="1"/>
        <rFont val="Calibri"/>
        <family val="2"/>
        <charset val="204"/>
        <scheme val="minor"/>
      </rPr>
      <t>Послуги з дератизації та дезінфекції (січ-груд) - 30 000,00 грн., медичний проф.огляд - 41 640,00 грн., перезарядка та відновлення картриджів - 41 000,00 грн., посл. з технічного обслуговування та регламентних робіт системи автоматичної пожежної сигналізації (січ-груд) - 9 600,00 грн., посл. інтернету (січ-груд) - 4 290,00 грн., посл. зі спостереження за спрацюваннями засобів пожежної сигналізації (січ-груд) - 7 200,00 грн., посл. з доступу в режимі он-лайн до електронних баз інформаційних ресурсів (Практика управл.дошк.закл., вих.-методист дошк.закл., голов.бух.Бюджет, Кадровик-01) - 22 800,00 грн., телекомунікаційні послуги (січ-груд) - 2 519,25 грн., послуги з охоронної сигналізації (січ-груд) - 2 400,00 грн., поточні консульт.з обслуг. прогр."Облік бюдж.установи" - 2 400,00 грн., замір опору ізоляції ел-мережі - 8 000,00 грн., обслугов. ІПК "Місцевий бюджет" - 2 900,00 грн., заправка вогнегасників - 3 768,00 грн., послуги з поточного ремонту дитячих павільйонів – 85 220,05 грн., послуги з розробки сайту – 10 800,00 грн., послуги з поточного ремонту санвузла та ігрової кімнати – 60 958,02 грн., вивіз рідких побутових відходів – 6 630,00 грн., послуги з адміністрування (обслуговування) програмного забезпечення (програмне забезпечення «Бюджетний облік») – 15 000,00 грн., послуги з адміністрування (обслуговування) програмного забезпечення (супровід тех.підтримки «Бюджетний облік») – 27 600,00 грн., послуги з виділення ресурсів (дискового простору) на сервері, що постійно перебуває в мережі – 7 200,00 грн., послуги з технічного обслуговування дизельної електростанції – 20 850,00 грн.</t>
    </r>
  </si>
  <si>
    <t xml:space="preserve"> 35шт,  книга записна А4 96арк. 10шт, файли 17пач., папка-реєстратор 20шт, папка пласт. 16шт, папка-швидкозшивач 32шт, ручка кулькова 51шт, плівка для ламінування 1упк, клей ПВА 10шт, приладдя наст. 4шт, органайзер наст. 3шт, корег.рідина 5шт) - 39 541,99 грн., БФП Epson Workforce WF-7830DTWF з СБПЧ - 19 465,00 грн., УШМ Vitals-Professional Ls 12120DU - 3 350,00 грн., ревізійні дверцята 300х400мм - 365,00 грн., саморізи, гайки, гвинти - 330,00 грн., антикорозійне літієве мастило, 400 мл - 250,00 грн., вироби для ванної кімнати та кухні  (трійник латунний, одинарник латунний, фум стрічка, ніпель, муфта, кранбукс, заглушка, згін, кран кульовий, нитка пакувальна, лейка, шланг душовий, змішувач, трійник, сифон)- 10 070,00 грн., миючі та чистящі засоби - 8 880,00 грн., рукавички для прибирання - 480,00 грн., папір туалетний - 4 050,00 грн., губки кухонні, шкребки - 1 300,00 грн., серветки універсальні для прибирання - 1 600,00 грн., подушка дитяча 60х40 (70шт), рушник вафельний 45*75 (40шт), рушник вафельний 50*90 (20шт) - 15 780,00 грн., знаряддя різні (держаки, набори ключів, сверло по кераміці та склу, коронка алмазна, диск відрізний по металу, клей «рідкі цвяхи») - 1 720,00 грн., євроканістра 20л для ПММ (2шт) - 700,00 грн., пергаментний папір 100м - 300,00 грн., освіжувач повітря (7шт) - 385,00 грн., пакети для сміття, 35л (30уп), пакети для сміття, 65л (30уп) - 1 650,00 грн., рушники паперові (6уп) - 165,00 грн., мило рідке, 500 мл (10шт), спрей для меблів, 500 мл (3шт) - 825,00 грн., серветка для прибирання (6шт) - 450,00 грн., каструля з кришкою 15,6л Origami Horeca (2шт), Каструля з нержавійки 20л Bohmann (2шт) - 7 225,92 грн., ємкість вертикальна не харчова 300л (2шт), ємкість вертикальна харчова 100л (3шт) - 11 655,00 грн., ігровий елемент "Тріо" (4шт) - 49 990,00 грн., Столик "Грибок" (2шт), ігровий елемент "Сороконіжка" (2шт), балансир "Стандарт" (2шт), ігровий елемент "Спорт 14" (1шт), ігровий елемент "Спорт 4" (1шт), стіл "Т 1" (1шт), лава "Садова зі спинкою" (1шт) - 99 990,00 грн., снігоприбиральна машина Denzel SB560 - 19 896,84 грн., кондиціонер (2шт) - 37 316,04 грн., апарат високого тиску - 15 960,00 грн.</t>
  </si>
  <si>
    <r>
      <t>Новопетрівський ліцей:</t>
    </r>
    <r>
      <rPr>
        <sz val="11"/>
        <color theme="1"/>
        <rFont val="Calibri"/>
        <family val="2"/>
        <charset val="204"/>
        <scheme val="minor"/>
      </rPr>
      <t xml:space="preserve"> Металопластикові двері-3шт на суму 69 481,00 грн.; електрообладнання(розетка,вимикач,світильники,інше)на суму 10 340,67грн.; матеріали для проведення поточного ремонту а саме:шурупи,саморізи,дюбеля,вентиляційні решітки,пензлі,валіки,щітки,фарба алкідна,грунтівка,шпаклівка та інше)на суму 14 453,56грн.; матеріали для встановлення підвісної стелі-7 973,79грн., Металопластикові двері-10шт на суму195 219,00 грн.; ручка віконна пластмасова 20шт на суму 1 250,00грн.; матеріали для проведення поточного ремонту а саме:емаль алкідна,ротбанд,колер концентрат,грунтовка  глибокопроникна,папір шліфувальний,стрічка малярна,шпаклівка гіпсова,снжка акрілова,сітка фасадна,ліноліум,фурнітура для плінтуса,плінтус ПВХ,самонаріз,замок навісний,кутник перфорований,макловиця,круг абразивний,електроізоляційна сітка,валики та ручки до валіків,труба ПВХ та коліно для проведення води в клас безпеки,люк каналізаційний піна монтажна,цемент та інше 121 813,64 грн., електротовари та обладнання-5 055,23грн.; матеріали для чищення, дезинфекції та миючі-1 786,88грн., Металопластикові двері-93 519.00грн.; вогнегасники -9 000,00 грн.; матеріали для проведення поточного ремонту-35 092,13 грн., матеріали для проведення поточного ремонту-288 958,73 грн; форма учням для проведення змагань з військово-патріотичної гри «Джура»-60 500,00грн.; металопластикові двері-132 216,00 грн; канцтовари -6 157,00грн.; лінолеум 85 890,00 грн; комплектуючі до лінолеуму та плінтуса -17 329,56грн.; одноразовий посуд пластиковий для організації гарячого харчування учнів-99 120,00 грн.; шкілна мебель(стінки учнівські,шафи відкриті та закриті,книжкові шафи в бібліотеку ,вішалки,тумби і т.д) 415 280,00 грн; миючі,дезинфекція,серветки  28 146,74грн.; </t>
    </r>
    <r>
      <rPr>
        <b/>
        <sz val="11"/>
        <color theme="1"/>
        <rFont val="Calibri"/>
        <family val="2"/>
        <charset val="204"/>
        <scheme val="minor"/>
      </rPr>
      <t>Новопетрівська гімназія:</t>
    </r>
    <r>
      <rPr>
        <sz val="11"/>
        <color theme="1"/>
        <rFont val="Calibri"/>
        <family val="2"/>
        <charset val="204"/>
        <scheme val="minor"/>
      </rPr>
      <t xml:space="preserve"> меблі директор каб.- 32 200,00 грн, захищених носіїв особистих ключів -10 200,00 грн., Презентаційна стійка (фурнітула різна)-14 995,00 грн., госп. Товари (папір туал. Рушники , пакети ) - 12 906,00 грн., канцтовари - 40 711,20 грн., газонокоса - 10 349,00 грн., велодоріжки - 3 500,00 грн., госп товари (насіння , кутники) - 23 250,00 грн.; </t>
    </r>
    <r>
      <rPr>
        <b/>
        <sz val="11"/>
        <color theme="1"/>
        <rFont val="Calibri"/>
        <family val="2"/>
        <charset val="204"/>
        <scheme val="minor"/>
      </rPr>
      <t>Петрівський ліцей:</t>
    </r>
    <r>
      <rPr>
        <sz val="11"/>
        <color theme="1"/>
        <rFont val="Calibri"/>
        <family val="2"/>
        <charset val="204"/>
        <scheme val="minor"/>
      </rPr>
      <t xml:space="preserve"> Талони для автобуса- 338 983,8 грн., Змішувачі для кухні 5 100 грн., фарба в асортименті 66 880,59 грн., електро інструмент 16 098 грн., Господарчий інструмент 23 318 грн., відеосистема 97 080 грн., вогнегасники 10 000 грн., канцтовари 21 532 грн., бойлер в їдальню 12 250 грн., фарби та акумулятори для компютерної техніки 29 678 грн., акумуляторні ліхтарі, та лампа для проєктора 10 690 грн., велопарковка 3 500 грн., миючі,дезинфікуючізасоби, господарчі товари, посуд для їдальні 153 460 грн.; </t>
    </r>
    <r>
      <rPr>
        <b/>
        <sz val="11"/>
        <color theme="1"/>
        <rFont val="Calibri"/>
        <family val="2"/>
        <charset val="204"/>
        <scheme val="minor"/>
      </rPr>
      <t xml:space="preserve">Лютізький ліцей: </t>
    </r>
    <r>
      <rPr>
        <sz val="11"/>
        <color theme="1"/>
        <rFont val="Calibri"/>
        <family val="2"/>
        <charset val="204"/>
        <scheme val="minor"/>
      </rPr>
      <t xml:space="preserve">Канцтовари-17 121 грн., дизельне паливо-111 452,67 грн., лакофарбна продукція- 29 951,40 грн., обладнання-35 808,00 грн., спортивний інвентар-17 160,00 грн., побутова хімія - 158 741,96 грн.; поручні - 46 401,60 грн., металопластикові вироби - 30 675,01 грн., посуд-112 832,52 грн., велопарковки-4 200,00 грн..
</t>
    </r>
  </si>
  <si>
    <r>
      <t xml:space="preserve">Новопетрівський ліцей: </t>
    </r>
    <r>
      <rPr>
        <sz val="11"/>
        <color theme="1"/>
        <rFont val="Calibri"/>
        <family val="2"/>
        <charset val="204"/>
        <scheme val="minor"/>
      </rPr>
      <t xml:space="preserve">Оренда  нежитлового приміщення для проведення безпечного навчання учнів-260 648,56 грн.; послуги інтернет «Луміна»-11 990,00 грн.; охорона(тривожна кнопка)-2 200,00 грн.; технічне обслуговування газопроводів та газового обладнання-6 348,35грн.; послуги з обслуговування та адміністрування програмного забезпечення-12 783,45 грн.; доступ в режимі он-лайн до електронних баз наукової та науково-технічної інформації,інформаційного ресурсу-практика управління закладом на 12 місяців з 01.06.2024р-6 210,00 грн.; Повірка газового лічильника та манометрів -4 851,00 грн.; Проведення вимір опору,ізоляції електроживлення в котельні та ліцеї- 9 350,00 грн.; технічне обслуговування вентиляційних та димових каналів-4 500,00 грн.; ремонт газового лічильника -20 228,90 грн.; Повірка газового сігналізатора -951,60 грн.; встановлення перил на ганку ліцею 48 145,40 грн.; послуги зі зрізу дерев біля ліцею для підготовки до опалювального сезону-16 200,00 грн.; технічне обслуговування газової котельні-18 000,00 грн.; навчання з тендерних закупівель -1 690,00 грн.; обслуговування програми «Логіка,Місцевий бюджет»-3 300,00 грн.; </t>
    </r>
    <r>
      <rPr>
        <b/>
        <sz val="11"/>
        <color theme="1"/>
        <rFont val="Calibri"/>
        <family val="2"/>
        <charset val="204"/>
        <scheme val="minor"/>
      </rPr>
      <t>Новопетрівська гімназія:</t>
    </r>
    <r>
      <rPr>
        <sz val="11"/>
        <color theme="1"/>
        <rFont val="Calibri"/>
        <family val="2"/>
        <charset val="204"/>
        <scheme val="minor"/>
      </rPr>
      <t xml:space="preserve"> Послуги охорони -2 400,00 грн; програмне забезпечення КУРС ШКОЛА - 2 850,00 грн ; оренда нежитлового приміщення - 15 915,76 грн, обслуговування газ обладнання - 8 282,32 грн., облаштування прибудинкової території школи - 189 891,74 грн., програмне забез. ІПК Місцевий бюджет - 2 900,00 грн., оплату послуг з обслуговування системи відеоспостеження - 5 375,13грн., оплату за ТО вентиляціних систем та димових каналів- 4 500,00 грн., оплату послуг з перезарядки вогнегасників- 4 170,00грн, оплату послуг з утримання та обслуговування електромереж - 8 000,00 грн., послуг з постачання КП "програмний комплекс "Варта" - 1 638,00 грн., оплату послуг з адмін.(обслуговування) програмного забезп - 1 397,00 грн., ТО котельні газ - 14 770,00 грн., Обслуговуванн КБС- 23 400,00 грн., послуги провайдера інтернет - 10 800,00 грн., обслуговування електромереж -  22 940,00 грн., обслуговування картриджів - 10 000,00 грн., обслуговування медок - 1 900,00 грн., заміна решіток - 16 000,00 грн.; </t>
    </r>
    <r>
      <rPr>
        <b/>
        <sz val="11"/>
        <color theme="1"/>
        <rFont val="Calibri"/>
        <family val="2"/>
        <charset val="204"/>
        <scheme val="minor"/>
      </rPr>
      <t>Петрівський ліцей:</t>
    </r>
    <r>
      <rPr>
        <sz val="11"/>
        <color theme="1"/>
        <rFont val="Calibri"/>
        <family val="2"/>
        <charset val="204"/>
        <scheme val="minor"/>
      </rPr>
      <t xml:space="preserve"> інтернет 24 090,00 грн.; Програмне забезпечення -25 450 грн.; охорона 4 800 грн., ПЗ ІПК Місцевий бюджет 5 700 грн., Технічне обслуговування котельні 45 850,00 грн., ПЗ "Курс" 3 350,00 грн., Обслуговування Пожежної  сигналізації 41 432,82 грн., дератизація 36 000,00 грн., послуги звязку 5 091,3 грн., Технічне обслуговування газового обладнення 35 487,55 грн., Очищення каналізаційної системи 8 000грн., Технічне обслуговування автобуса 41 249,00 грн., Повірка газового обладнення 42 706,40 грн., Аналіз води 9 578,28 грн., медогляд 21 452,70 грн., поточний ремонт каналізації в укритті 170 446,86 грн., вимір опору ізоляції 16 000 грн., Перезарядка вогнегасників 9 750 грн., Ремонт господарської техніки 2 155,80 грн., заправка катріджів 30 000 грн., технічне обслуговування генераторів 15 000 грн., встановлення відеосистеми 43 480 грн.,  е- підписка 3 096,00 грн.,  обслуговування КБС 23 400 грн.; </t>
    </r>
    <r>
      <rPr>
        <b/>
        <sz val="11"/>
        <color theme="1"/>
        <rFont val="Calibri"/>
        <family val="2"/>
        <charset val="204"/>
        <scheme val="minor"/>
      </rPr>
      <t>Лютізький ліцей:</t>
    </r>
    <r>
      <rPr>
        <sz val="11"/>
        <rFont val="Calibri"/>
        <family val="2"/>
        <charset val="204"/>
        <scheme val="minor"/>
      </rPr>
      <t xml:space="preserve">  інтернет-6 480,00 грн., прог</t>
    </r>
    <r>
      <rPr>
        <sz val="11"/>
        <color theme="1"/>
        <rFont val="Calibri"/>
        <family val="2"/>
        <charset val="204"/>
        <scheme val="minor"/>
      </rPr>
      <t xml:space="preserve">рамне забезпечення-39 705 грн., технічне обслуговування сигналізації - 41 306,66 грн., технічне обслуговування газових приладів -19 576,8 грн., санстанція-3 104,00 грн., оренда автобуса-300 000,00 грн., поліція охорона - 2 400,00грн., заправка катриджів - 23 211,94 грн., витяжка в укритті-54 236,40 грн., обслуговування газових приладів - 11 200,00 рн., облуговуваня котельні -25 500,00 грн., техічне обслуговування вентиляційних систем - 7 000,00 грн.; технічне обслуговування газопроводів - 7 489,44 грн.; дератизація 35 500,00 грн.; -Фізико-хімічні дослідження 8 306,23 грн.; опір ізоляції - 9 000,00 грн.; заправка вогнегасників 6 500,00 грн.; обслуговування котельні 8 500,00 грн.; технічне обслуговування газового котла -23 350,00 грн.; Технічне обслуговування газопроводів-14 944,72 грн., обслуговування котельні- 25 500,00 грн., технічний нагляд-20 170,00грн..
</t>
    </r>
  </si>
  <si>
    <t>Додаток № 1</t>
  </si>
  <si>
    <t>від 21.02.2025 року № 2474</t>
  </si>
  <si>
    <t>Додаток №2</t>
  </si>
  <si>
    <t>від 21.02.2025  року № 2474</t>
  </si>
  <si>
    <t>Додаток № 3</t>
  </si>
  <si>
    <t>Додаток №4</t>
  </si>
  <si>
    <t>Додаток № 5</t>
  </si>
  <si>
    <t>від 21.02.2025року № 2474</t>
  </si>
  <si>
    <t>Додаток № 6</t>
  </si>
  <si>
    <t xml:space="preserve">від 21.02.2025року №2474 </t>
  </si>
  <si>
    <t>Додаток № 7</t>
  </si>
  <si>
    <t>Додаток № 8</t>
  </si>
  <si>
    <t xml:space="preserve">від 21.02.2025 року № 2474 </t>
  </si>
  <si>
    <t>Додаток №9</t>
  </si>
  <si>
    <t>Додаток № 10</t>
  </si>
  <si>
    <t xml:space="preserve">від 21.02.2025 року № 2474  </t>
  </si>
  <si>
    <r>
      <rPr>
        <b/>
        <sz val="10"/>
        <color theme="1"/>
        <rFont val="Calibri"/>
        <family val="2"/>
        <charset val="204"/>
        <scheme val="minor"/>
      </rPr>
      <t>КЗ "Петрик"</t>
    </r>
    <r>
      <rPr>
        <sz val="10"/>
        <color theme="1"/>
        <rFont val="Calibri"/>
        <family val="2"/>
        <charset val="204"/>
        <scheme val="minor"/>
      </rPr>
      <t xml:space="preserve">: канцелярські товари - 153 451,08 грн, господарчі товари, миючі засоби - 370 075,80 грн, будівельні матеріали - 204 132,65 грн,насіння та добрива- 74 340,00 грн, щітка на підмітальну машину - 17 555,00 грн, придбання меблів у групові осередки та укриття - 268 034,01 грн, талони на бензин - 10 798,20 грн, УФ лампа для знищення комах - 4 676,00 грн, липка вкладка для знищення комах - 3 780,00 грн, мобільний телефон - 9 999,00 грн, сендвіч перегородки, сендвіч панелі в укриття - 389 976,17 грн, логопедичні дзеркала - 3 930,00 грн, акумуляторні батарейки та безперебійники живлення - 30 150,00 грн, кухонне приладдя - 47 744,56 грн, перила в укриття - 68 040,00 грн., заднік літо - 15 000,00 грн, ламінатори - 32 136,00 грн, підставки та фільтри до посудомийних машинок - 53 100,00 грн, зД ручки -27 500,00 грн, пледи та покривали в укриття - 351 500,00 грн, водонагрівач - 31 973,00 грн,  ролети - 62 600,00 грн, лед - лампи - 43 500,00 грн, електрообладнання до тепловентиляторів - 47 660,00 грн, стенди - 8 741,00 грн,  іграшки - 26 668,00 грн,є -журнали - 46 074,00 грн, унітази, умивальники в укриття - 98 639,04 грн, спортивний інвентар - 161 684,00 грн, телескопи, мікроскопи - 69 580,00 грн, пароочисник - 14 605,00 грн, мегафон - 6 720,00 грн, спецодяг - 98 999,89 грн.; </t>
    </r>
    <r>
      <rPr>
        <b/>
        <sz val="10"/>
        <color theme="1"/>
        <rFont val="Calibri"/>
        <family val="2"/>
        <charset val="204"/>
        <scheme val="minor"/>
      </rPr>
      <t>КЗ "Пролісок":</t>
    </r>
    <r>
      <rPr>
        <sz val="10"/>
        <color theme="1"/>
        <rFont val="Calibri"/>
        <family val="2"/>
        <charset val="204"/>
        <scheme val="minor"/>
      </rPr>
      <t xml:space="preserve"> Матеріали, інвентар та інструменти для проведення ремонтних робіт господарським способом – 30 891,52  грн. (коліно оцинковане, замок врізний, кран кульовий, гнучке відведення води, дюбелі, метиз по дереву, упор дверний підлоговий, фарба захисна садова, арматура для унітазу, труба поліетиленова, ручка на планці, мережевий фільтр, кабель, шланг поливу, цемент, кабель, розетка, коліно, пакля, кран, муфта, насос підвищеного тиску, силікон, муфта, коліно, трійник тощо), канцтовари – 52 438,88 грн., миючі засоби – 63 796,58 грн., електротехнічне устаткування – 21 227,42 грн., інвентар для зберігання паливно-мастильних матеріалів (каністри) – 2 157,98 грн., текстильні вироби (тканина для тюлі, тюль, ролети тканеві) – 42 095,39 грн., меблі (кухня Прованс, столи дитячі, крісло офісне) – 63 933,36 грн., пісочниці – 93 000,00 грн., тіньові дашки для пісочниць – 40 800,00 грн., принтер для кольорового друку – 7 674,00 грн., господарчі товари –1 367,99 грн., кухонна техніка (блендер, м’ясорубка) – 6 698,00 гривень.;  КЗ "Барвінок": Картриджи цвітні 4шт - 7 800,00 грн., світильники EVROLIGHT 36Вт 60шт -26 161,02 грн., книги обліку та реєстрац.журнали - 2 417,30 грн., бланки дипломів випускн.дит.садка та грамоти - 364,00 грн., дидактичні матеріали для навч. в інклюзивних групах - 12 014,66 грн., відцентровий алюмін.вентилятор 2шт для котельні - 12 456,00 грн., обприскувач SG71, Stihl - 3 799,02 грн., нітроамофоска 500кг - 17 900,00 грн., бензин А-95 200л - 11 398,00 грн., фарба емаль алкідна "Kompozit" 53,6кг - 9 302,40 грн., набір 3 в 1 Шахи + нарди + шашки 6шт - 5 513,98 грн., кухонне приладдя (лопатки, пензлики, миски н/с, вінчики, щипці, сотейники, гастроємкості, ножі, тримач для ножів, друшляк, дошки для наріз.) - 25 437,46грн., наліпки різні 15шт - 6 630,00 грн., стенди 3шт, плакати 3шт, таблички 6шт - 10 150,00 грн., міксер погружний - 12 683,00 грн.,  ваги товарні - 8 900,00 грн., сушарка для білизни підлогова 2шт - 6 398,04 грн., набір для прибирання (швабра і відро з віджимом) 4шт - 6 756,00 грн., фарба UNIAKRYL 10 кг для ремонту в укритті - 18 948,00 грн., канцтовари (папір офісний А4 65 пач, папір офісний А3 2пач, лоток горизонтальний 5шт., лоток вертикальний 4шт, швидкозшивач з перфорацією</t>
    </r>
  </si>
  <si>
    <t>Додаток № 11</t>
  </si>
  <si>
    <t>Додаток № 12</t>
  </si>
  <si>
    <t>Додаток №13</t>
  </si>
  <si>
    <t>Додаток № 14</t>
  </si>
  <si>
    <t xml:space="preserve">від 21.02.2025 року №2474 </t>
  </si>
  <si>
    <t>Додаток №15</t>
  </si>
  <si>
    <t>Додаток № 16</t>
  </si>
  <si>
    <t>від 21.02.2025 року №2474</t>
  </si>
  <si>
    <t xml:space="preserve">Додаток №17 </t>
  </si>
  <si>
    <t xml:space="preserve">від 21.02.2025 року №2474  </t>
  </si>
  <si>
    <t>Додаток № 18</t>
  </si>
  <si>
    <t>Додаток № 19</t>
  </si>
  <si>
    <t>Додаток № 20</t>
  </si>
  <si>
    <t>Додаток № 21</t>
  </si>
  <si>
    <t>Додаток № 22</t>
  </si>
  <si>
    <t>Додаток № 23</t>
  </si>
  <si>
    <t>Додаток № 24</t>
  </si>
  <si>
    <t>Додаток № 25</t>
  </si>
  <si>
    <t>Додаток № 26</t>
  </si>
  <si>
    <t xml:space="preserve">Додаток №27  </t>
  </si>
  <si>
    <t>Додаток № 28</t>
  </si>
  <si>
    <t>Додаток № 29</t>
  </si>
  <si>
    <t>Додаток № 30</t>
  </si>
  <si>
    <t>Додаток №31</t>
  </si>
  <si>
    <t>Додаток № 32</t>
  </si>
  <si>
    <t>Додаток № 33</t>
  </si>
  <si>
    <t>Додаток № 34</t>
  </si>
  <si>
    <t>Додаток № 35</t>
  </si>
  <si>
    <t>Додаток №36</t>
  </si>
  <si>
    <t>Додаток № 37</t>
  </si>
  <si>
    <t>від 21.02.2024 року № 2474</t>
  </si>
  <si>
    <t>Додаток № 38</t>
  </si>
  <si>
    <t xml:space="preserve">Додаток №39 </t>
  </si>
  <si>
    <t>Додаток № 40</t>
  </si>
  <si>
    <t>Додаток № 41</t>
  </si>
  <si>
    <t xml:space="preserve">Додаток №42 </t>
  </si>
  <si>
    <t>Додаток № 43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</si>
</sst>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_-* #,##0.00_р_._-;\-* #,##0.00_р_._-;_-* &quot;-&quot;??_р_._-;_-@_-"/>
    <numFmt numFmtId="165" formatCode="_-* #,##0.00\ _₽_-;\-* #,##0.00\ _₽_-;_-* &quot;-&quot;??\ _₽_-;_-@_-"/>
    <numFmt numFmtId="166" formatCode="#,##0.00_ ;\-#,##0.00\ "/>
    <numFmt numFmtId="167" formatCode="_-* #,##0\ _₽_-;\-* #,##0\ _₽_-;_-* &quot;-&quot;??\ _₽_-;_-@_-"/>
    <numFmt numFmtId="168" formatCode="_-* #,##0.00\ _₽_-;\-* #,##0.00\ _₽_-;_-* &quot;-&quot;??\ _₽_-;_-@"/>
    <numFmt numFmtId="169" formatCode="_-* #,##0\ _₽_-;\-* #,##0\ _₽_-;_-* &quot;-&quot;??\ _₽_-;_-@"/>
    <numFmt numFmtId="170" formatCode="_-* #,##0.00\ _₴_-;\-* #,##0.00\ _₴_-;_-* &quot;-&quot;??\ _₴_-;_-@"/>
    <numFmt numFmtId="171" formatCode="#,##0.00_р_."/>
  </numFmts>
  <fonts count="44"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b/>
      <i/>
      <sz val="11"/>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b/>
      <sz val="13"/>
      <color theme="1"/>
      <name val="Times New Roman"/>
      <family val="1"/>
      <charset val="204"/>
    </font>
    <font>
      <sz val="8"/>
      <name val="Calibri"/>
      <family val="2"/>
      <charset val="204"/>
      <scheme val="minor"/>
    </font>
    <font>
      <b/>
      <sz val="13"/>
      <color theme="1"/>
      <name val="Calibri"/>
      <family val="2"/>
      <charset val="204"/>
      <scheme val="minor"/>
    </font>
    <font>
      <sz val="11"/>
      <color rgb="FF000000"/>
      <name val="Calibri"/>
      <family val="2"/>
      <charset val="204"/>
      <scheme val="minor"/>
    </font>
    <font>
      <u/>
      <sz val="11"/>
      <color theme="1"/>
      <name val="Calibri"/>
      <family val="2"/>
      <charset val="204"/>
      <scheme val="minor"/>
    </font>
    <font>
      <sz val="11"/>
      <color theme="1"/>
      <name val="Calibri"/>
      <family val="2"/>
      <charset val="204"/>
    </font>
    <font>
      <sz val="10"/>
      <color theme="1"/>
      <name val="Calibri"/>
      <family val="2"/>
      <charset val="204"/>
    </font>
    <font>
      <sz val="12"/>
      <color theme="1"/>
      <name val="Calibri"/>
      <family val="2"/>
      <charset val="204"/>
    </font>
    <font>
      <b/>
      <sz val="11"/>
      <color theme="1"/>
      <name val="Calibri"/>
      <family val="2"/>
      <charset val="204"/>
    </font>
    <font>
      <sz val="11"/>
      <color theme="1"/>
      <name val="Times New Roman"/>
      <family val="1"/>
      <charset val="204"/>
    </font>
    <font>
      <sz val="10"/>
      <color indexed="8"/>
      <name val="Times New Roman"/>
      <family val="1"/>
      <charset val="204"/>
    </font>
    <font>
      <sz val="10"/>
      <name val="Arial"/>
      <family val="2"/>
      <charset val="204"/>
    </font>
    <font>
      <b/>
      <sz val="12"/>
      <color indexed="8"/>
      <name val="Times New Roman"/>
      <family val="1"/>
      <charset val="204"/>
    </font>
    <font>
      <b/>
      <sz val="11"/>
      <color theme="1"/>
      <name val="Times New Roman"/>
      <family val="1"/>
      <charset val="204"/>
    </font>
    <font>
      <sz val="12"/>
      <color indexed="8"/>
      <name val="Times New Roman"/>
      <family val="1"/>
      <charset val="204"/>
    </font>
    <font>
      <b/>
      <sz val="12"/>
      <color theme="1"/>
      <name val="Calibri"/>
      <family val="2"/>
      <charset val="204"/>
    </font>
    <font>
      <sz val="11"/>
      <name val="Calibri"/>
      <family val="2"/>
      <charset val="204"/>
    </font>
    <font>
      <sz val="10"/>
      <color theme="1"/>
      <name val="Times New Roman"/>
      <family val="1"/>
      <charset val="204"/>
    </font>
    <font>
      <b/>
      <i/>
      <sz val="12"/>
      <color theme="1"/>
      <name val="Calibri"/>
      <family val="2"/>
      <charset val="204"/>
    </font>
    <font>
      <b/>
      <sz val="10"/>
      <color indexed="8"/>
      <name val="Times New Roman"/>
      <family val="1"/>
      <charset val="204"/>
    </font>
    <font>
      <b/>
      <sz val="12"/>
      <color theme="1"/>
      <name val="Times New Roman"/>
      <family val="1"/>
      <charset val="204"/>
    </font>
    <font>
      <sz val="12"/>
      <color rgb="FF000000"/>
      <name val="Times New Roman"/>
      <family val="1"/>
      <charset val="204"/>
    </font>
    <font>
      <sz val="10.5"/>
      <color theme="1"/>
      <name val="Calibri"/>
      <family val="2"/>
      <charset val="204"/>
      <scheme val="minor"/>
    </font>
    <font>
      <b/>
      <sz val="10"/>
      <color theme="1"/>
      <name val="Calibri"/>
      <family val="2"/>
      <charset val="204"/>
      <scheme val="minor"/>
    </font>
  </fonts>
  <fills count="9">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8"/>
      </left>
      <right style="thin">
        <color indexed="8"/>
      </right>
      <top style="thin">
        <color indexed="8"/>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s>
  <cellStyleXfs count="3">
    <xf numFmtId="0" fontId="0" fillId="0" borderId="0"/>
    <xf numFmtId="165" fontId="1" fillId="0" borderId="0" applyFont="0" applyFill="0" applyBorder="0" applyAlignment="0" applyProtection="0"/>
    <xf numFmtId="0" fontId="13" fillId="0" borderId="0" applyNumberFormat="0" applyFill="0" applyBorder="0" applyAlignment="0" applyProtection="0"/>
  </cellStyleXfs>
  <cellXfs count="821">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4" fontId="2" fillId="0" borderId="1" xfId="0" applyNumberFormat="1" applyFont="1" applyBorder="1" applyAlignment="1">
      <alignment wrapText="1"/>
    </xf>
    <xf numFmtId="165" fontId="3" fillId="0" borderId="1" xfId="1" applyFont="1" applyBorder="1" applyAlignment="1">
      <alignment horizontal="right" wrapText="1"/>
    </xf>
    <xf numFmtId="165" fontId="2" fillId="0" borderId="1" xfId="1" applyFont="1" applyBorder="1" applyAlignment="1">
      <alignment horizontal="right" wrapText="1"/>
    </xf>
    <xf numFmtId="165"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0" fontId="2" fillId="0" borderId="1" xfId="0" applyFont="1" applyBorder="1"/>
    <xf numFmtId="0" fontId="2" fillId="0" borderId="0" xfId="0" applyFont="1"/>
    <xf numFmtId="165" fontId="2" fillId="0" borderId="1" xfId="0" applyNumberFormat="1" applyFont="1" applyBorder="1" applyAlignment="1">
      <alignment horizontal="right" wrapText="1"/>
    </xf>
    <xf numFmtId="0" fontId="0" fillId="0" borderId="0" xfId="0" applyAlignment="1"/>
    <xf numFmtId="0" fontId="2" fillId="0" borderId="1" xfId="0" applyFont="1" applyBorder="1" applyAlignment="1">
      <alignment vertical="center" wrapText="1"/>
    </xf>
    <xf numFmtId="166"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0" fontId="2" fillId="0" borderId="1" xfId="0" applyFont="1" applyFill="1" applyBorder="1" applyAlignment="1">
      <alignment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0" fontId="2" fillId="0" borderId="0" xfId="0" applyFont="1" applyAlignment="1">
      <alignment horizontal="right" wrapText="1"/>
    </xf>
    <xf numFmtId="4" fontId="2" fillId="0" borderId="1" xfId="0" applyNumberFormat="1" applyFont="1" applyBorder="1"/>
    <xf numFmtId="4" fontId="2" fillId="0" borderId="1" xfId="0" applyNumberFormat="1" applyFont="1" applyFill="1" applyBorder="1" applyAlignment="1">
      <alignment wrapText="1"/>
    </xf>
    <xf numFmtId="4" fontId="2" fillId="0" borderId="6" xfId="0" applyNumberFormat="1" applyFont="1" applyBorder="1"/>
    <xf numFmtId="4" fontId="2" fillId="0" borderId="3" xfId="0" applyNumberFormat="1" applyFont="1" applyFill="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5" fontId="2" fillId="0" borderId="1" xfId="1" applyFont="1" applyBorder="1" applyAlignment="1">
      <alignment horizontal="right" vertical="top" wrapText="1"/>
    </xf>
    <xf numFmtId="4" fontId="2" fillId="0" borderId="1" xfId="0" applyNumberFormat="1" applyFont="1" applyBorder="1" applyAlignment="1">
      <alignment vertical="top" wrapText="1"/>
    </xf>
    <xf numFmtId="165"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0" fontId="2" fillId="0" borderId="0" xfId="0" applyFont="1" applyAlignment="1"/>
    <xf numFmtId="165" fontId="3" fillId="0" borderId="1" xfId="1" applyFont="1" applyBorder="1" applyAlignment="1">
      <alignment horizontal="right" vertical="top" wrapText="1"/>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10" fillId="0" borderId="8" xfId="0" applyFont="1" applyBorder="1"/>
    <xf numFmtId="165"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2" fillId="0" borderId="0" xfId="0" applyFont="1" applyAlignment="1">
      <alignment horizontal="left"/>
    </xf>
    <xf numFmtId="0" fontId="3" fillId="0" borderId="0" xfId="0" applyFont="1" applyAlignment="1">
      <alignment horizontal="center" vertical="center" wrapText="1"/>
    </xf>
    <xf numFmtId="0" fontId="0" fillId="0" borderId="1" xfId="0" applyBorder="1" applyAlignment="1">
      <alignment vertical="top"/>
    </xf>
    <xf numFmtId="0" fontId="2" fillId="0" borderId="8" xfId="0" applyFont="1" applyFill="1" applyBorder="1" applyAlignment="1">
      <alignment wrapText="1"/>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3" fontId="2" fillId="0" borderId="8" xfId="0" applyNumberFormat="1" applyFont="1" applyBorder="1" applyAlignment="1">
      <alignment horizontal="right" vertical="top" wrapText="1"/>
    </xf>
    <xf numFmtId="4" fontId="2" fillId="0" borderId="9" xfId="0" applyNumberFormat="1" applyFont="1" applyBorder="1"/>
    <xf numFmtId="4" fontId="2" fillId="0" borderId="1" xfId="0" applyNumberFormat="1" applyFont="1" applyFill="1" applyBorder="1" applyAlignment="1">
      <alignment horizontal="right" wrapText="1"/>
    </xf>
    <xf numFmtId="0" fontId="2" fillId="0" borderId="0" xfId="0" applyFont="1" applyAlignment="1">
      <alignment horizontal="left"/>
    </xf>
    <xf numFmtId="0" fontId="3" fillId="0" borderId="0" xfId="0" applyFont="1" applyAlignment="1">
      <alignment horizontal="center" vertical="center" wrapText="1"/>
    </xf>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wrapText="1"/>
    </xf>
    <xf numFmtId="0" fontId="0" fillId="0" borderId="0" xfId="0" applyFont="1"/>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2" fillId="0" borderId="0" xfId="0" applyFont="1" applyAlignment="1">
      <alignment horizontal="left"/>
    </xf>
    <xf numFmtId="0" fontId="3" fillId="0" borderId="1" xfId="0" applyFont="1" applyFill="1" applyBorder="1" applyAlignment="1">
      <alignment wrapText="1"/>
    </xf>
    <xf numFmtId="0" fontId="3" fillId="0" borderId="1" xfId="0" applyFont="1" applyBorder="1"/>
    <xf numFmtId="0" fontId="3" fillId="0" borderId="8" xfId="0" applyFont="1" applyBorder="1" applyAlignment="1">
      <alignment horizontal="left"/>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Alignment="1">
      <alignment horizontal="left"/>
    </xf>
    <xf numFmtId="0" fontId="3" fillId="0" borderId="0" xfId="0" applyFont="1" applyAlignment="1">
      <alignment horizontal="center" vertical="center" wrapText="1"/>
    </xf>
    <xf numFmtId="0" fontId="3" fillId="0" borderId="1" xfId="0" applyFont="1" applyFill="1" applyBorder="1" applyAlignment="1">
      <alignment horizontal="center" wrapText="1"/>
    </xf>
    <xf numFmtId="0" fontId="3" fillId="0" borderId="2" xfId="0" applyFont="1" applyFill="1" applyBorder="1" applyAlignment="1">
      <alignment horizontal="center" wrapText="1"/>
    </xf>
    <xf numFmtId="165" fontId="3" fillId="0" borderId="11" xfId="1" applyFont="1" applyBorder="1" applyAlignment="1">
      <alignment horizontal="right" wrapText="1"/>
    </xf>
    <xf numFmtId="0" fontId="15"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2" fillId="0" borderId="9" xfId="0" applyFont="1" applyBorder="1" applyAlignment="1">
      <alignment wrapText="1"/>
    </xf>
    <xf numFmtId="0" fontId="3" fillId="0" borderId="9" xfId="0" applyFont="1" applyBorder="1" applyAlignment="1">
      <alignment wrapText="1"/>
    </xf>
    <xf numFmtId="0" fontId="3"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 fontId="3" fillId="0" borderId="1" xfId="0" applyNumberFormat="1" applyFont="1" applyBorder="1" applyAlignment="1">
      <alignment vertical="top" wrapText="1"/>
    </xf>
    <xf numFmtId="0" fontId="3" fillId="0" borderId="1" xfId="0" applyFont="1" applyBorder="1" applyAlignment="1">
      <alignment horizontal="left"/>
    </xf>
    <xf numFmtId="4" fontId="3" fillId="0" borderId="9" xfId="0" applyNumberFormat="1" applyFont="1" applyBorder="1"/>
    <xf numFmtId="0" fontId="3" fillId="0" borderId="2" xfId="0" applyFont="1" applyFill="1" applyBorder="1" applyAlignment="1">
      <alignment wrapText="1"/>
    </xf>
    <xf numFmtId="4" fontId="3" fillId="0" borderId="2"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5"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0" xfId="0" applyFont="1" applyAlignment="1">
      <alignment horizontal="left"/>
    </xf>
    <xf numFmtId="0" fontId="3" fillId="0" borderId="8" xfId="0" applyFont="1" applyBorder="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0" fontId="2" fillId="0" borderId="0" xfId="0" applyFont="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wrapText="1"/>
    </xf>
    <xf numFmtId="4" fontId="3" fillId="0" borderId="1" xfId="0" applyNumberFormat="1" applyFont="1" applyBorder="1" applyAlignment="1">
      <alignment horizontal="right"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5" fontId="2" fillId="0" borderId="1" xfId="1" applyFont="1" applyBorder="1" applyAlignment="1">
      <alignment horizontal="right" vertical="center" wrapText="1"/>
    </xf>
    <xf numFmtId="165" fontId="3" fillId="0" borderId="1" xfId="1" applyFont="1" applyBorder="1" applyAlignment="1">
      <alignment horizontal="right" vertical="center" wrapText="1"/>
    </xf>
    <xf numFmtId="166"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7" fontId="0" fillId="0" borderId="0" xfId="0" applyNumberFormat="1"/>
    <xf numFmtId="167" fontId="2" fillId="0" borderId="0" xfId="0" applyNumberFormat="1" applyFont="1" applyAlignment="1">
      <alignment wrapText="1"/>
    </xf>
    <xf numFmtId="167" fontId="3" fillId="0" borderId="1" xfId="1" applyNumberFormat="1" applyFont="1" applyBorder="1" applyAlignment="1">
      <alignment horizontal="right" wrapText="1"/>
    </xf>
    <xf numFmtId="167" fontId="2" fillId="0" borderId="1" xfId="1" applyNumberFormat="1" applyFont="1" applyBorder="1" applyAlignment="1">
      <alignment horizontal="right" wrapText="1"/>
    </xf>
    <xf numFmtId="0" fontId="17" fillId="0" borderId="1" xfId="0" applyFont="1" applyBorder="1" applyAlignment="1">
      <alignment wrapText="1"/>
    </xf>
    <xf numFmtId="167" fontId="3" fillId="0" borderId="1" xfId="0" applyNumberFormat="1" applyFont="1" applyBorder="1" applyAlignment="1">
      <alignment horizontal="center" vertical="center" wrapText="1"/>
    </xf>
    <xf numFmtId="0" fontId="2" fillId="0" borderId="10" xfId="0" applyFont="1" applyBorder="1" applyAlignment="1">
      <alignment wrapText="1"/>
    </xf>
    <xf numFmtId="167" fontId="2" fillId="0" borderId="10" xfId="0" applyNumberFormat="1" applyFont="1" applyBorder="1" applyAlignment="1">
      <alignment horizontal="left" wrapText="1"/>
    </xf>
    <xf numFmtId="0" fontId="9" fillId="0" borderId="0" xfId="0" applyFont="1" applyBorder="1" applyAlignment="1">
      <alignment vertical="center" wrapText="1"/>
    </xf>
    <xf numFmtId="165" fontId="2" fillId="0" borderId="0" xfId="1" applyFont="1" applyBorder="1" applyAlignment="1">
      <alignment horizontal="right" vertical="top" wrapText="1"/>
    </xf>
    <xf numFmtId="4" fontId="2" fillId="0" borderId="0" xfId="0" applyNumberFormat="1" applyFont="1" applyBorder="1" applyAlignment="1">
      <alignment vertical="top" wrapText="1"/>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0" borderId="0" xfId="0" applyFont="1" applyAlignment="1">
      <alignment horizontal="center" vertical="center" wrapText="1"/>
    </xf>
    <xf numFmtId="0" fontId="2" fillId="0" borderId="0" xfId="0" applyFont="1" applyAlignment="1">
      <alignment horizontal="left"/>
    </xf>
    <xf numFmtId="0" fontId="3" fillId="0" borderId="1" xfId="0" applyFont="1" applyBorder="1" applyAlignment="1">
      <alignment horizontal="left"/>
    </xf>
    <xf numFmtId="0" fontId="2" fillId="0" borderId="0" xfId="0" applyFont="1" applyAlignment="1">
      <alignment horizontal="left" vertical="center" wrapText="1"/>
    </xf>
    <xf numFmtId="0" fontId="3" fillId="0" borderId="10" xfId="0" applyFont="1" applyBorder="1" applyAlignment="1">
      <alignment horizontal="center" vertical="center" wrapText="1"/>
    </xf>
    <xf numFmtId="0" fontId="19" fillId="0" borderId="0" xfId="0" applyFont="1" applyAlignment="1">
      <alignment vertical="center" wrapText="1"/>
    </xf>
    <xf numFmtId="0" fontId="2" fillId="0" borderId="1" xfId="0" applyFont="1" applyBorder="1" applyAlignment="1">
      <alignment horizontal="left"/>
    </xf>
    <xf numFmtId="0" fontId="12" fillId="0" borderId="0" xfId="0" applyFont="1" applyAlignment="1">
      <alignment horizontal="justify" vertical="center"/>
    </xf>
    <xf numFmtId="0" fontId="0" fillId="0" borderId="0" xfId="0" applyFill="1" applyAlignment="1">
      <alignment wrapText="1"/>
    </xf>
    <xf numFmtId="0" fontId="0" fillId="0" borderId="1" xfId="0" applyFont="1" applyBorder="1" applyAlignment="1">
      <alignment wrapText="1"/>
    </xf>
    <xf numFmtId="0" fontId="0" fillId="0" borderId="0" xfId="0" applyFont="1" applyAlignment="1">
      <alignment wrapText="1"/>
    </xf>
    <xf numFmtId="165" fontId="2" fillId="0" borderId="0" xfId="0" applyNumberFormat="1" applyFont="1" applyAlignme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4" fontId="3" fillId="0" borderId="1" xfId="0" applyNumberFormat="1" applyFont="1" applyFill="1" applyBorder="1"/>
    <xf numFmtId="0" fontId="2" fillId="0" borderId="10" xfId="0" applyFont="1" applyBorder="1" applyAlignment="1"/>
    <xf numFmtId="0" fontId="2" fillId="0" borderId="0" xfId="0" applyFont="1" applyAlignment="1">
      <alignment horizontal="right" vertical="center"/>
    </xf>
    <xf numFmtId="165" fontId="3" fillId="0" borderId="0" xfId="0" applyNumberFormat="1" applyFont="1" applyAlignment="1">
      <alignment horizontal="center" vertical="center" wrapText="1"/>
    </xf>
    <xf numFmtId="0" fontId="15" fillId="0" borderId="0" xfId="0" applyFont="1" applyAlignment="1">
      <alignment horizontal="justify" vertical="center"/>
    </xf>
    <xf numFmtId="0" fontId="5" fillId="0" borderId="1" xfId="0" applyFont="1" applyBorder="1" applyAlignment="1">
      <alignment horizontal="center" vertical="center" wrapText="1"/>
    </xf>
    <xf numFmtId="0" fontId="3" fillId="0" borderId="1" xfId="0" applyFont="1" applyBorder="1" applyAlignment="1">
      <alignment horizontal="left"/>
    </xf>
    <xf numFmtId="0" fontId="0" fillId="0" borderId="9" xfId="0" applyBorder="1"/>
    <xf numFmtId="0" fontId="10" fillId="0" borderId="8" xfId="0" applyFont="1" applyBorder="1" applyAlignment="1">
      <alignment horizontal="right"/>
    </xf>
    <xf numFmtId="0" fontId="3" fillId="0" borderId="2" xfId="0" applyFont="1" applyBorder="1" applyAlignment="1">
      <alignment wrapText="1"/>
    </xf>
    <xf numFmtId="165" fontId="3" fillId="0" borderId="2" xfId="1" applyFont="1" applyBorder="1" applyAlignment="1">
      <alignment horizontal="right" vertical="top" wrapText="1"/>
    </xf>
    <xf numFmtId="165"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0" fillId="0" borderId="0" xfId="0" applyAlignment="1">
      <alignment vertical="top"/>
    </xf>
    <xf numFmtId="0" fontId="20" fillId="0" borderId="0" xfId="0" applyFont="1" applyAlignment="1">
      <alignment horizontal="center" vertical="center"/>
    </xf>
    <xf numFmtId="0" fontId="7" fillId="0" borderId="1" xfId="0" applyFont="1" applyBorder="1" applyAlignment="1">
      <alignment horizontal="right"/>
    </xf>
    <xf numFmtId="0" fontId="7" fillId="0" borderId="1" xfId="0" applyFont="1" applyFill="1" applyBorder="1" applyAlignment="1">
      <alignment wrapText="1"/>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0" fontId="5" fillId="5" borderId="1" xfId="0" applyFont="1" applyFill="1" applyBorder="1"/>
    <xf numFmtId="0" fontId="3" fillId="5" borderId="1" xfId="0" applyFont="1" applyFill="1" applyBorder="1" applyAlignment="1">
      <alignment wrapText="1"/>
    </xf>
    <xf numFmtId="0" fontId="3" fillId="5" borderId="1" xfId="0" applyFont="1" applyFill="1" applyBorder="1"/>
    <xf numFmtId="4" fontId="3" fillId="5" borderId="1" xfId="0" applyNumberFormat="1" applyFont="1" applyFill="1" applyBorder="1"/>
    <xf numFmtId="4" fontId="3" fillId="5" borderId="1" xfId="0" applyNumberFormat="1" applyFont="1" applyFill="1" applyBorder="1" applyAlignment="1">
      <alignment wrapText="1"/>
    </xf>
    <xf numFmtId="0" fontId="0" fillId="5" borderId="1" xfId="0" applyFill="1" applyBorder="1"/>
    <xf numFmtId="4" fontId="3" fillId="0" borderId="1" xfId="0" applyNumberFormat="1" applyFont="1" applyFill="1" applyBorder="1" applyAlignment="1">
      <alignment wrapText="1"/>
    </xf>
    <xf numFmtId="0" fontId="2" fillId="0" borderId="1" xfId="0" applyFont="1" applyFill="1" applyBorder="1"/>
    <xf numFmtId="0" fontId="3" fillId="0" borderId="8" xfId="0" applyFont="1" applyBorder="1" applyAlignment="1">
      <alignment horizontal="left"/>
    </xf>
    <xf numFmtId="0" fontId="7" fillId="0" borderId="1" xfId="0" applyFont="1" applyBorder="1" applyAlignment="1">
      <alignment horizontal="center" wrapText="1"/>
    </xf>
    <xf numFmtId="0" fontId="3" fillId="0" borderId="1" xfId="0" applyFont="1" applyBorder="1" applyAlignment="1">
      <alignment horizontal="left"/>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5" fillId="0" borderId="1" xfId="0" applyFont="1" applyFill="1" applyBorder="1"/>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4" fontId="2" fillId="0" borderId="1" xfId="1" applyNumberFormat="1" applyFont="1" applyFill="1" applyBorder="1" applyAlignment="1">
      <alignment horizontal="right" vertical="top" wrapText="1"/>
    </xf>
    <xf numFmtId="4" fontId="16" fillId="0" borderId="1" xfId="0" applyNumberFormat="1" applyFont="1" applyFill="1" applyBorder="1" applyAlignment="1">
      <alignment horizontal="right" vertical="top" wrapText="1"/>
    </xf>
    <xf numFmtId="4" fontId="2" fillId="0" borderId="1" xfId="0" applyNumberFormat="1" applyFont="1" applyFill="1" applyBorder="1" applyAlignment="1">
      <alignment horizontal="right" vertical="top" wrapText="1"/>
    </xf>
    <xf numFmtId="0" fontId="0" fillId="0" borderId="1" xfId="0" applyFill="1" applyBorder="1"/>
    <xf numFmtId="0" fontId="2" fillId="0" borderId="1" xfId="0" applyFont="1" applyFill="1" applyBorder="1" applyAlignment="1">
      <alignment horizontal="center" wrapText="1"/>
    </xf>
    <xf numFmtId="0" fontId="0" fillId="0" borderId="2" xfId="0" applyFill="1" applyBorder="1"/>
    <xf numFmtId="0" fontId="3" fillId="0" borderId="2" xfId="0" applyFont="1" applyFill="1" applyBorder="1" applyAlignment="1">
      <alignment vertical="top" wrapText="1"/>
    </xf>
    <xf numFmtId="4" fontId="3" fillId="0" borderId="2" xfId="0" applyNumberFormat="1" applyFont="1" applyFill="1" applyBorder="1" applyAlignment="1">
      <alignment horizontal="right" vertical="top" wrapText="1"/>
    </xf>
    <xf numFmtId="4" fontId="3" fillId="0" borderId="1" xfId="0" applyNumberFormat="1" applyFont="1" applyFill="1" applyBorder="1" applyAlignment="1">
      <alignment horizontal="right" vertical="top" wrapText="1"/>
    </xf>
    <xf numFmtId="0" fontId="5" fillId="0" borderId="2" xfId="0" applyFont="1" applyFill="1" applyBorder="1"/>
    <xf numFmtId="0" fontId="2" fillId="0" borderId="2" xfId="0" applyFont="1" applyFill="1" applyBorder="1" applyAlignment="1">
      <alignment vertical="top" wrapText="1"/>
    </xf>
    <xf numFmtId="0" fontId="2" fillId="0" borderId="2" xfId="0" applyFont="1" applyFill="1" applyBorder="1" applyAlignment="1">
      <alignment horizontal="center" wrapText="1"/>
    </xf>
    <xf numFmtId="4" fontId="2" fillId="0" borderId="2" xfId="0" applyNumberFormat="1" applyFont="1" applyFill="1" applyBorder="1" applyAlignment="1">
      <alignment horizontal="right" vertical="top" wrapText="1"/>
    </xf>
    <xf numFmtId="0" fontId="3" fillId="0" borderId="1" xfId="0" applyFont="1" applyFill="1" applyBorder="1" applyAlignment="1">
      <alignment vertical="top" wrapText="1"/>
    </xf>
    <xf numFmtId="0" fontId="0" fillId="0" borderId="8" xfId="0" applyFill="1" applyBorder="1"/>
    <xf numFmtId="0" fontId="7" fillId="0" borderId="11" xfId="0" applyFont="1" applyFill="1" applyBorder="1" applyAlignment="1">
      <alignment horizontal="right"/>
    </xf>
    <xf numFmtId="0" fontId="7" fillId="0" borderId="11" xfId="0" applyFont="1" applyFill="1" applyBorder="1"/>
    <xf numFmtId="2" fontId="7" fillId="0" borderId="1" xfId="0" applyNumberFormat="1" applyFont="1" applyFill="1" applyBorder="1"/>
    <xf numFmtId="0" fontId="7" fillId="0" borderId="9" xfId="0" applyFont="1" applyFill="1" applyBorder="1"/>
    <xf numFmtId="0" fontId="0" fillId="0" borderId="0" xfId="0" applyFill="1"/>
    <xf numFmtId="0" fontId="2" fillId="0" borderId="0" xfId="0" applyFont="1" applyFill="1" applyAlignment="1">
      <alignment vertical="top" wrapText="1"/>
    </xf>
    <xf numFmtId="0" fontId="2" fillId="0" borderId="0" xfId="0" applyFont="1" applyFill="1" applyAlignment="1">
      <alignment horizontal="center" wrapText="1"/>
    </xf>
    <xf numFmtId="4" fontId="2" fillId="0" borderId="0" xfId="0" applyNumberFormat="1" applyFont="1" applyFill="1" applyAlignment="1">
      <alignment wrapText="1"/>
    </xf>
    <xf numFmtId="4" fontId="2" fillId="0" borderId="0" xfId="0" applyNumberFormat="1" applyFont="1" applyFill="1" applyAlignment="1">
      <alignment horizontal="right" wrapText="1"/>
    </xf>
    <xf numFmtId="0" fontId="2" fillId="0" borderId="0" xfId="0" applyFont="1" applyFill="1" applyAlignment="1">
      <alignment wrapText="1"/>
    </xf>
    <xf numFmtId="43" fontId="2" fillId="0" borderId="1" xfId="0" applyNumberFormat="1" applyFont="1" applyBorder="1" applyAlignment="1">
      <alignment horizontal="right" wrapText="1"/>
    </xf>
    <xf numFmtId="165" fontId="3" fillId="0" borderId="2" xfId="1" applyFont="1" applyBorder="1" applyAlignment="1">
      <alignment horizontal="right" wrapText="1"/>
    </xf>
    <xf numFmtId="43"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0" fontId="2" fillId="0" borderId="2" xfId="0" applyFont="1" applyBorder="1" applyAlignment="1">
      <alignment wrapText="1"/>
    </xf>
    <xf numFmtId="165" fontId="2" fillId="0" borderId="2" xfId="1" applyFont="1" applyBorder="1" applyAlignment="1">
      <alignment horizontal="right" wrapText="1"/>
    </xf>
    <xf numFmtId="4" fontId="2" fillId="0" borderId="2" xfId="0" applyNumberFormat="1" applyFont="1" applyBorder="1" applyAlignment="1">
      <alignment wrapText="1"/>
    </xf>
    <xf numFmtId="0" fontId="7" fillId="0" borderId="1" xfId="0" applyFont="1" applyBorder="1" applyAlignment="1">
      <alignment horizontal="left" wrapText="1"/>
    </xf>
    <xf numFmtId="0" fontId="7" fillId="0" borderId="1" xfId="0" applyFont="1" applyFill="1" applyBorder="1" applyAlignment="1">
      <alignment horizontal="left" wrapText="1"/>
    </xf>
    <xf numFmtId="0" fontId="22" fillId="0" borderId="1" xfId="0" applyFont="1" applyBorder="1" applyAlignment="1">
      <alignment horizontal="left"/>
    </xf>
    <xf numFmtId="4" fontId="22" fillId="0" borderId="1" xfId="0" applyNumberFormat="1" applyFont="1" applyBorder="1"/>
    <xf numFmtId="0" fontId="0" fillId="0" borderId="9" xfId="0" applyFont="1" applyBorder="1" applyAlignment="1">
      <alignment horizontal="left" vertical="center" wrapText="1"/>
    </xf>
    <xf numFmtId="4" fontId="3" fillId="0" borderId="1" xfId="0" applyNumberFormat="1" applyFont="1" applyBorder="1" applyAlignment="1">
      <alignment horizontal="center" vertical="top" wrapText="1"/>
    </xf>
    <xf numFmtId="0" fontId="3"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left" vertical="top" wrapText="1"/>
    </xf>
    <xf numFmtId="0" fontId="0" fillId="4" borderId="1" xfId="0" applyFill="1" applyBorder="1"/>
    <xf numFmtId="4" fontId="3" fillId="4" borderId="1" xfId="0" applyNumberFormat="1" applyFont="1" applyFill="1" applyBorder="1"/>
    <xf numFmtId="0" fontId="3" fillId="4" borderId="1" xfId="0" applyFont="1" applyFill="1" applyBorder="1" applyAlignment="1">
      <alignment horizontal="left"/>
    </xf>
    <xf numFmtId="43" fontId="3" fillId="0" borderId="2" xfId="0" applyNumberFormat="1" applyFont="1" applyBorder="1" applyAlignment="1">
      <alignment horizontal="right" wrapText="1"/>
    </xf>
    <xf numFmtId="165" fontId="3" fillId="0" borderId="0" xfId="0" applyNumberFormat="1" applyFont="1" applyAlignment="1">
      <alignment horizontal="left" vertical="top" wrapText="1"/>
    </xf>
    <xf numFmtId="0" fontId="6" fillId="0" borderId="0" xfId="0" applyFont="1" applyBorder="1" applyAlignment="1">
      <alignment horizontal="left" vertical="center" wrapText="1"/>
    </xf>
    <xf numFmtId="165" fontId="6" fillId="0" borderId="0" xfId="0" applyNumberFormat="1" applyFont="1" applyBorder="1" applyAlignment="1">
      <alignment horizontal="left" vertical="center" wrapText="1"/>
    </xf>
    <xf numFmtId="0" fontId="2" fillId="0" borderId="10" xfId="0" applyFont="1" applyFill="1" applyBorder="1" applyAlignment="1">
      <alignment horizontal="left" vertical="top" wrapText="1"/>
    </xf>
    <xf numFmtId="0" fontId="3" fillId="0" borderId="0" xfId="0" applyFont="1" applyAlignment="1">
      <alignment horizontal="center" vertical="center" wrapText="1"/>
    </xf>
    <xf numFmtId="0" fontId="2" fillId="0" borderId="0" xfId="0" applyFont="1" applyAlignment="1">
      <alignment horizontal="left"/>
    </xf>
    <xf numFmtId="167" fontId="2" fillId="0" borderId="0" xfId="0" applyNumberFormat="1" applyFont="1" applyAlignment="1">
      <alignment horizontal="right" wrapText="1"/>
    </xf>
    <xf numFmtId="0" fontId="2" fillId="0" borderId="10" xfId="0" applyFont="1" applyBorder="1"/>
    <xf numFmtId="2" fontId="2" fillId="0" borderId="0" xfId="0" applyNumberFormat="1" applyFont="1" applyAlignment="1">
      <alignment horizontal="right"/>
    </xf>
    <xf numFmtId="4" fontId="2" fillId="0" borderId="10" xfId="0" applyNumberFormat="1" applyFont="1" applyBorder="1" applyAlignment="1"/>
    <xf numFmtId="0" fontId="2" fillId="0" borderId="10" xfId="0" applyFont="1" applyFill="1" applyBorder="1" applyAlignment="1">
      <alignment horizontal="center" wrapText="1"/>
    </xf>
    <xf numFmtId="4" fontId="2" fillId="0" borderId="0" xfId="0" applyNumberFormat="1" applyFont="1" applyFill="1" applyAlignment="1">
      <alignment horizontal="left" wrapText="1"/>
    </xf>
    <xf numFmtId="4" fontId="2" fillId="0" borderId="10" xfId="0" applyNumberFormat="1" applyFont="1" applyBorder="1"/>
    <xf numFmtId="4" fontId="2" fillId="0" borderId="0" xfId="0" applyNumberFormat="1" applyFont="1" applyAlignment="1">
      <alignment horizontal="right"/>
    </xf>
    <xf numFmtId="0" fontId="0" fillId="0" borderId="10" xfId="0" applyBorder="1"/>
    <xf numFmtId="0" fontId="2" fillId="0" borderId="10" xfId="0" applyFont="1" applyBorder="1" applyAlignment="1">
      <alignment horizontal="center" vertical="top"/>
    </xf>
    <xf numFmtId="0" fontId="2" fillId="0" borderId="0" xfId="0" applyFont="1" applyBorder="1"/>
    <xf numFmtId="0" fontId="2" fillId="0" borderId="10" xfId="0" applyFont="1" applyBorder="1" applyAlignment="1">
      <alignment vertical="center"/>
    </xf>
    <xf numFmtId="165" fontId="0" fillId="0" borderId="0" xfId="0" applyNumberFormat="1" applyFont="1" applyAlignment="1"/>
    <xf numFmtId="0" fontId="3" fillId="0" borderId="0" xfId="0" applyFont="1" applyAlignment="1">
      <alignment horizontal="center" vertical="center" wrapText="1"/>
    </xf>
    <xf numFmtId="0" fontId="2" fillId="0" borderId="0" xfId="0" applyFont="1" applyAlignment="1">
      <alignment horizontal="left"/>
    </xf>
    <xf numFmtId="0" fontId="3" fillId="0" borderId="8" xfId="0" applyFont="1" applyBorder="1" applyAlignment="1">
      <alignment horizontal="left"/>
    </xf>
    <xf numFmtId="0" fontId="2" fillId="0" borderId="0" xfId="0" applyFont="1" applyAlignment="1">
      <alignment horizontal="left" vertical="center" wrapText="1"/>
    </xf>
    <xf numFmtId="0" fontId="7" fillId="0" borderId="11" xfId="0" applyFont="1" applyBorder="1" applyAlignment="1">
      <alignment horizontal="right"/>
    </xf>
    <xf numFmtId="0" fontId="7" fillId="0" borderId="11" xfId="0" applyFont="1" applyBorder="1" applyAlignment="1">
      <alignment horizontal="right"/>
    </xf>
    <xf numFmtId="0" fontId="2" fillId="0" borderId="0" xfId="0" applyFont="1" applyAlignment="1">
      <alignment horizontal="left"/>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7" fillId="0" borderId="11" xfId="0" applyFont="1" applyBorder="1" applyAlignment="1">
      <alignment horizontal="right"/>
    </xf>
    <xf numFmtId="0" fontId="0" fillId="0" borderId="0" xfId="0" applyAlignment="1">
      <alignment horizontal="left" wrapText="1"/>
    </xf>
    <xf numFmtId="0" fontId="0" fillId="0" borderId="0" xfId="0" applyFill="1" applyAlignment="1">
      <alignment horizontal="left" wrapText="1"/>
    </xf>
    <xf numFmtId="0" fontId="3" fillId="0" borderId="8" xfId="0" applyFont="1" applyBorder="1" applyAlignment="1">
      <alignment horizontal="left"/>
    </xf>
    <xf numFmtId="0" fontId="0" fillId="0" borderId="0" xfId="0" applyAlignment="1">
      <alignment horizontal="left" vertical="top"/>
    </xf>
    <xf numFmtId="0" fontId="17" fillId="0" borderId="0" xfId="0" applyFont="1" applyAlignment="1">
      <alignment wrapText="1"/>
    </xf>
    <xf numFmtId="0" fontId="25" fillId="0" borderId="13" xfId="0" applyFont="1" applyBorder="1"/>
    <xf numFmtId="0" fontId="26" fillId="0" borderId="13" xfId="0" applyFont="1" applyBorder="1" applyAlignment="1">
      <alignment wrapText="1"/>
    </xf>
    <xf numFmtId="0" fontId="27" fillId="0" borderId="13" xfId="0" applyFont="1" applyBorder="1" applyAlignment="1">
      <alignment horizontal="center" wrapText="1"/>
    </xf>
    <xf numFmtId="168" fontId="27" fillId="0" borderId="13" xfId="0" applyNumberFormat="1" applyFont="1" applyBorder="1" applyAlignment="1">
      <alignment horizontal="right" wrapText="1"/>
    </xf>
    <xf numFmtId="169" fontId="27" fillId="0" borderId="13" xfId="0" applyNumberFormat="1" applyFont="1" applyBorder="1" applyAlignment="1">
      <alignment horizontal="right" wrapText="1"/>
    </xf>
    <xf numFmtId="4" fontId="27" fillId="0" borderId="13" xfId="0" applyNumberFormat="1" applyFont="1" applyBorder="1" applyAlignment="1">
      <alignment wrapText="1"/>
    </xf>
    <xf numFmtId="0" fontId="26" fillId="0" borderId="0" xfId="0" applyFont="1" applyAlignment="1">
      <alignment wrapText="1"/>
    </xf>
    <xf numFmtId="168" fontId="27" fillId="0" borderId="13" xfId="0" applyNumberFormat="1" applyFont="1" applyBorder="1" applyAlignment="1">
      <alignment wrapText="1"/>
    </xf>
    <xf numFmtId="0" fontId="25" fillId="0" borderId="13" xfId="0" applyFont="1" applyBorder="1" applyAlignment="1"/>
    <xf numFmtId="0" fontId="28" fillId="0" borderId="13" xfId="0" applyFont="1" applyBorder="1" applyAlignment="1">
      <alignment horizontal="center"/>
    </xf>
    <xf numFmtId="0" fontId="27" fillId="0" borderId="13" xfId="0" applyFont="1" applyBorder="1" applyAlignment="1">
      <alignment horizontal="center" vertical="center" wrapText="1"/>
    </xf>
    <xf numFmtId="164" fontId="29" fillId="0" borderId="1" xfId="0" applyNumberFormat="1" applyFont="1" applyBorder="1" applyAlignment="1">
      <alignment vertical="center" wrapText="1"/>
    </xf>
    <xf numFmtId="164" fontId="29" fillId="0" borderId="1" xfId="0" applyNumberFormat="1" applyFont="1" applyFill="1" applyBorder="1" applyAlignment="1">
      <alignment vertical="center" wrapText="1"/>
    </xf>
    <xf numFmtId="4" fontId="29" fillId="6" borderId="1" xfId="0" applyNumberFormat="1" applyFont="1" applyFill="1" applyBorder="1" applyAlignment="1">
      <alignment horizontal="center" wrapText="1"/>
    </xf>
    <xf numFmtId="4" fontId="29" fillId="0" borderId="1" xfId="0" applyNumberFormat="1" applyFont="1" applyBorder="1" applyAlignment="1">
      <alignment horizontal="center" wrapText="1"/>
    </xf>
    <xf numFmtId="165" fontId="3" fillId="0" borderId="10" xfId="0" applyNumberFormat="1" applyFont="1" applyBorder="1" applyAlignment="1">
      <alignment wrapText="1"/>
    </xf>
    <xf numFmtId="165" fontId="5" fillId="0" borderId="0" xfId="0" applyNumberFormat="1" applyFont="1"/>
    <xf numFmtId="4" fontId="3" fillId="0" borderId="0" xfId="0" applyNumberFormat="1" applyFont="1" applyAlignment="1"/>
    <xf numFmtId="4" fontId="5" fillId="0" borderId="0" xfId="0" applyNumberFormat="1" applyFont="1" applyAlignment="1">
      <alignment wrapText="1"/>
    </xf>
    <xf numFmtId="4" fontId="5" fillId="0" borderId="1" xfId="0" applyNumberFormat="1" applyFont="1" applyBorder="1" applyAlignment="1">
      <alignment wrapText="1"/>
    </xf>
    <xf numFmtId="2" fontId="5" fillId="0" borderId="1" xfId="0" applyNumberFormat="1" applyFont="1" applyBorder="1"/>
    <xf numFmtId="4" fontId="17" fillId="0" borderId="1" xfId="0" applyNumberFormat="1" applyFont="1" applyBorder="1" applyAlignment="1">
      <alignment wrapText="1"/>
    </xf>
    <xf numFmtId="164" fontId="32" fillId="6" borderId="16" xfId="0" applyNumberFormat="1" applyFont="1" applyFill="1" applyBorder="1" applyAlignment="1" applyProtection="1">
      <alignment horizontal="center" vertical="center" wrapText="1"/>
    </xf>
    <xf numFmtId="171" fontId="30" fillId="6" borderId="16" xfId="0" applyNumberFormat="1" applyFont="1" applyFill="1" applyBorder="1" applyAlignment="1" applyProtection="1">
      <alignment horizontal="center" vertical="center" wrapText="1"/>
    </xf>
    <xf numFmtId="171" fontId="31" fillId="6" borderId="3" xfId="0" applyNumberFormat="1" applyFont="1" applyFill="1" applyBorder="1" applyAlignment="1">
      <alignment horizontal="center" vertical="center" wrapText="1"/>
    </xf>
    <xf numFmtId="171" fontId="3" fillId="0" borderId="1" xfId="0" applyNumberFormat="1" applyFont="1" applyBorder="1" applyAlignment="1">
      <alignment wrapText="1"/>
    </xf>
    <xf numFmtId="171" fontId="30" fillId="6" borderId="1" xfId="0" applyNumberFormat="1" applyFont="1" applyFill="1" applyBorder="1" applyAlignment="1" applyProtection="1">
      <alignment horizontal="center" vertical="center" wrapText="1"/>
    </xf>
    <xf numFmtId="171" fontId="3" fillId="6" borderId="1" xfId="0" applyNumberFormat="1" applyFont="1" applyFill="1" applyBorder="1" applyAlignment="1">
      <alignment horizontal="center" vertical="center" wrapText="1"/>
    </xf>
    <xf numFmtId="171" fontId="32" fillId="6" borderId="16" xfId="0" applyNumberFormat="1" applyFont="1" applyFill="1" applyBorder="1" applyAlignment="1" applyProtection="1">
      <alignment horizontal="center" vertical="center" wrapText="1"/>
    </xf>
    <xf numFmtId="171" fontId="32" fillId="6" borderId="1" xfId="0" applyNumberFormat="1" applyFont="1" applyFill="1" applyBorder="1" applyAlignment="1" applyProtection="1">
      <alignment horizontal="center" vertical="center" wrapText="1"/>
    </xf>
    <xf numFmtId="164" fontId="32" fillId="6" borderId="1" xfId="0" applyNumberFormat="1" applyFont="1" applyFill="1" applyBorder="1" applyAlignment="1" applyProtection="1">
      <alignment horizontal="center" vertical="center" wrapText="1"/>
    </xf>
    <xf numFmtId="164" fontId="3" fillId="6" borderId="1" xfId="0" applyNumberFormat="1" applyFont="1" applyFill="1" applyBorder="1" applyAlignment="1">
      <alignment horizontal="center" vertical="center" wrapText="1"/>
    </xf>
    <xf numFmtId="0" fontId="0" fillId="0" borderId="0" xfId="0" applyAlignment="1">
      <alignment horizontal="left" vertical="top"/>
    </xf>
    <xf numFmtId="164" fontId="5" fillId="0" borderId="1" xfId="0" applyNumberFormat="1" applyFont="1" applyFill="1" applyBorder="1" applyAlignment="1">
      <alignment wrapText="1"/>
    </xf>
    <xf numFmtId="4" fontId="5" fillId="0" borderId="2" xfId="0" applyNumberFormat="1" applyFont="1" applyBorder="1"/>
    <xf numFmtId="0" fontId="3" fillId="0" borderId="6" xfId="0" applyFont="1" applyFill="1" applyBorder="1" applyAlignment="1">
      <alignment wrapText="1"/>
    </xf>
    <xf numFmtId="4" fontId="3" fillId="0" borderId="3" xfId="0" applyNumberFormat="1" applyFont="1" applyFill="1" applyBorder="1" applyAlignment="1">
      <alignment horizontal="right" wrapText="1"/>
    </xf>
    <xf numFmtId="164" fontId="5" fillId="0" borderId="1" xfId="0" applyNumberFormat="1" applyFont="1" applyBorder="1"/>
    <xf numFmtId="164" fontId="33" fillId="0" borderId="1" xfId="0" applyNumberFormat="1" applyFont="1" applyBorder="1" applyAlignment="1">
      <alignment vertical="center" wrapText="1"/>
    </xf>
    <xf numFmtId="164" fontId="33" fillId="0" borderId="1" xfId="0" applyNumberFormat="1" applyFont="1" applyFill="1" applyBorder="1" applyAlignment="1">
      <alignment vertical="center" wrapText="1"/>
    </xf>
    <xf numFmtId="164" fontId="33" fillId="0" borderId="1" xfId="0" applyNumberFormat="1" applyFont="1" applyBorder="1" applyAlignment="1">
      <alignment horizontal="center" vertical="center" wrapText="1"/>
    </xf>
    <xf numFmtId="164" fontId="33" fillId="0"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xf>
    <xf numFmtId="0" fontId="2" fillId="0" borderId="0" xfId="0" applyFont="1" applyAlignment="1">
      <alignment horizontal="left"/>
    </xf>
    <xf numFmtId="0" fontId="2" fillId="0" borderId="0" xfId="0" applyFont="1" applyAlignment="1">
      <alignment horizontal="left" vertical="center" wrapText="1"/>
    </xf>
    <xf numFmtId="0" fontId="3" fillId="0" borderId="8" xfId="0" applyFont="1" applyBorder="1" applyAlignment="1">
      <alignment horizontal="left"/>
    </xf>
    <xf numFmtId="0" fontId="0" fillId="0" borderId="0" xfId="0" applyAlignment="1">
      <alignment horizontal="left" vertical="top"/>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0" fontId="2" fillId="0" borderId="9" xfId="0" applyFont="1" applyBorder="1" applyAlignment="1">
      <alignment vertical="center" wrapText="1"/>
    </xf>
    <xf numFmtId="165" fontId="2" fillId="0" borderId="0" xfId="0" applyNumberFormat="1" applyFont="1" applyAlignment="1">
      <alignment wrapText="1"/>
    </xf>
    <xf numFmtId="4" fontId="34" fillId="0" borderId="16" xfId="0" applyNumberFormat="1" applyFont="1" applyFill="1" applyBorder="1" applyAlignment="1" applyProtection="1">
      <alignment vertical="center" wrapText="1"/>
    </xf>
    <xf numFmtId="4" fontId="9" fillId="0" borderId="1" xfId="0" applyNumberFormat="1" applyFont="1" applyFill="1" applyBorder="1" applyAlignment="1">
      <alignment vertical="center" wrapText="1"/>
    </xf>
    <xf numFmtId="4" fontId="3" fillId="0" borderId="5" xfId="0" applyNumberFormat="1" applyFont="1" applyBorder="1"/>
    <xf numFmtId="0" fontId="2" fillId="6" borderId="9" xfId="0" applyFont="1" applyFill="1" applyBorder="1"/>
    <xf numFmtId="0" fontId="2" fillId="6" borderId="1" xfId="0" applyFont="1" applyFill="1" applyBorder="1"/>
    <xf numFmtId="0" fontId="2" fillId="6" borderId="8" xfId="0" applyFont="1" applyFill="1" applyBorder="1" applyAlignment="1">
      <alignment wrapText="1"/>
    </xf>
    <xf numFmtId="4" fontId="2" fillId="6" borderId="1" xfId="0" applyNumberFormat="1" applyFont="1" applyFill="1" applyBorder="1"/>
    <xf numFmtId="4" fontId="2" fillId="2" borderId="1" xfId="0" applyNumberFormat="1" applyFont="1" applyFill="1" applyBorder="1"/>
    <xf numFmtId="4" fontId="3" fillId="0" borderId="11" xfId="0" applyNumberFormat="1" applyFont="1" applyBorder="1" applyAlignment="1">
      <alignment horizontal="left" wrapText="1"/>
    </xf>
    <xf numFmtId="164" fontId="2" fillId="0" borderId="1" xfId="0" applyNumberFormat="1" applyFont="1" applyBorder="1"/>
    <xf numFmtId="4" fontId="3" fillId="0" borderId="1" xfId="0" applyNumberFormat="1" applyFont="1" applyBorder="1" applyAlignment="1">
      <alignment horizontal="left" wrapText="1"/>
    </xf>
    <xf numFmtId="4" fontId="2" fillId="0" borderId="1" xfId="0" applyNumberFormat="1" applyFont="1" applyBorder="1" applyAlignment="1">
      <alignment horizontal="left" wrapText="1"/>
    </xf>
    <xf numFmtId="4" fontId="3" fillId="0" borderId="1" xfId="0" applyNumberFormat="1" applyFont="1" applyBorder="1" applyAlignment="1">
      <alignment horizontal="left"/>
    </xf>
    <xf numFmtId="0" fontId="9" fillId="0" borderId="1" xfId="0" applyFont="1" applyBorder="1"/>
    <xf numFmtId="3" fontId="3" fillId="0" borderId="1" xfId="0" applyNumberFormat="1" applyFont="1" applyFill="1" applyBorder="1"/>
    <xf numFmtId="4" fontId="3" fillId="0" borderId="0" xfId="0" applyNumberFormat="1" applyFont="1" applyAlignment="1">
      <alignment horizontal="center"/>
    </xf>
    <xf numFmtId="164" fontId="0" fillId="0" borderId="1" xfId="0" applyNumberFormat="1" applyFont="1" applyBorder="1" applyAlignment="1">
      <alignment horizontal="center" vertical="center" wrapText="1"/>
    </xf>
    <xf numFmtId="4" fontId="0" fillId="0" borderId="1" xfId="0" applyNumberFormat="1" applyFont="1" applyBorder="1" applyAlignment="1">
      <alignment wrapText="1"/>
    </xf>
    <xf numFmtId="4" fontId="0" fillId="0" borderId="1" xfId="0" applyNumberFormat="1" applyFont="1" applyBorder="1" applyAlignment="1">
      <alignment horizontal="right" vertical="center" wrapText="1"/>
    </xf>
    <xf numFmtId="0" fontId="0" fillId="0" borderId="1" xfId="0" applyFont="1" applyFill="1" applyBorder="1" applyAlignment="1">
      <alignment wrapText="1"/>
    </xf>
    <xf numFmtId="4" fontId="0" fillId="0" borderId="1" xfId="0" applyNumberFormat="1" applyFont="1" applyBorder="1"/>
    <xf numFmtId="4" fontId="5" fillId="2" borderId="1" xfId="0" applyNumberFormat="1" applyFont="1" applyFill="1" applyBorder="1"/>
    <xf numFmtId="4" fontId="5" fillId="0" borderId="1" xfId="0" applyNumberFormat="1" applyFont="1" applyBorder="1"/>
    <xf numFmtId="0" fontId="3" fillId="0" borderId="0" xfId="0" applyFont="1" applyAlignment="1"/>
    <xf numFmtId="0" fontId="0" fillId="6" borderId="0" xfId="0" applyFill="1"/>
    <xf numFmtId="0" fontId="0" fillId="7" borderId="1" xfId="0" applyFill="1" applyBorder="1"/>
    <xf numFmtId="0" fontId="3" fillId="7" borderId="1" xfId="0" applyFont="1" applyFill="1" applyBorder="1" applyAlignment="1">
      <alignment wrapText="1"/>
    </xf>
    <xf numFmtId="0" fontId="2" fillId="7" borderId="1" xfId="0" applyFont="1" applyFill="1" applyBorder="1" applyAlignment="1">
      <alignment wrapText="1"/>
    </xf>
    <xf numFmtId="4" fontId="2" fillId="7" borderId="1" xfId="0" applyNumberFormat="1" applyFont="1" applyFill="1" applyBorder="1"/>
    <xf numFmtId="0" fontId="2" fillId="0" borderId="1" xfId="0" applyFont="1" applyBorder="1" applyAlignment="1">
      <alignment horizontal="left" vertical="top" wrapText="1"/>
    </xf>
    <xf numFmtId="0" fontId="7" fillId="0" borderId="11" xfId="0" applyFont="1" applyBorder="1" applyAlignment="1">
      <alignment horizontal="right" wrapText="1"/>
    </xf>
    <xf numFmtId="0" fontId="0" fillId="0" borderId="0" xfId="0" applyAlignment="1">
      <alignment horizontal="left" wrapText="1"/>
    </xf>
    <xf numFmtId="0" fontId="2" fillId="0" borderId="0" xfId="0" applyFont="1" applyAlignment="1">
      <alignment horizontal="left"/>
    </xf>
    <xf numFmtId="0" fontId="2" fillId="0" borderId="0" xfId="0" applyFont="1" applyAlignment="1">
      <alignment horizontal="left" vertical="center" wrapText="1"/>
    </xf>
    <xf numFmtId="0" fontId="0" fillId="0" borderId="0" xfId="0" applyFill="1" applyAlignment="1">
      <alignment horizontal="left" wrapText="1"/>
    </xf>
    <xf numFmtId="0" fontId="2" fillId="0" borderId="0" xfId="0" applyFont="1" applyAlignment="1">
      <alignment horizontal="left" wrapText="1"/>
    </xf>
    <xf numFmtId="0" fontId="2" fillId="0" borderId="0" xfId="0" applyFont="1" applyAlignment="1">
      <alignment horizontal="center"/>
    </xf>
    <xf numFmtId="164" fontId="3"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6" fontId="2" fillId="0" borderId="1" xfId="0" applyNumberFormat="1" applyFont="1" applyBorder="1" applyAlignment="1">
      <alignment horizontal="right" vertical="center" wrapText="1"/>
    </xf>
    <xf numFmtId="0" fontId="2" fillId="3" borderId="1" xfId="0" applyFont="1" applyFill="1" applyBorder="1" applyAlignment="1">
      <alignment horizontal="left" vertical="top" wrapText="1"/>
    </xf>
    <xf numFmtId="4" fontId="2" fillId="0" borderId="1" xfId="0" applyNumberFormat="1" applyFont="1" applyBorder="1" applyAlignment="1">
      <alignment horizontal="center" vertical="center" wrapText="1"/>
    </xf>
    <xf numFmtId="0" fontId="2" fillId="3" borderId="1" xfId="0" applyFont="1" applyFill="1" applyBorder="1" applyAlignment="1">
      <alignment wrapText="1"/>
    </xf>
    <xf numFmtId="0" fontId="0" fillId="0" borderId="1" xfId="0" applyFont="1" applyBorder="1" applyAlignment="1">
      <alignment horizontal="center" vertical="top"/>
    </xf>
    <xf numFmtId="2" fontId="0" fillId="0" borderId="1" xfId="0" applyNumberFormat="1" applyFont="1" applyBorder="1" applyAlignment="1">
      <alignment horizontal="center" vertical="top"/>
    </xf>
    <xf numFmtId="2" fontId="2" fillId="0" borderId="1" xfId="0" applyNumberFormat="1" applyFont="1" applyBorder="1" applyAlignment="1">
      <alignment horizontal="left" vertical="center" wrapText="1"/>
    </xf>
    <xf numFmtId="2" fontId="2" fillId="0" borderId="1" xfId="0" applyNumberFormat="1" applyFont="1" applyBorder="1" applyAlignment="1">
      <alignment horizontal="right" vertical="center" wrapText="1"/>
    </xf>
    <xf numFmtId="0" fontId="0" fillId="0" borderId="1" xfId="0" applyNumberFormat="1" applyFont="1" applyBorder="1" applyAlignment="1">
      <alignment horizontal="center" vertical="top"/>
    </xf>
    <xf numFmtId="164" fontId="2"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165" fontId="0" fillId="0" borderId="1" xfId="0" applyNumberFormat="1" applyFont="1" applyBorder="1" applyAlignment="1">
      <alignment horizontal="right" vertical="center" wrapText="1"/>
    </xf>
    <xf numFmtId="165" fontId="5" fillId="0" borderId="1" xfId="1" applyFont="1" applyBorder="1" applyAlignment="1">
      <alignment horizontal="right" vertical="center" wrapText="1"/>
    </xf>
    <xf numFmtId="165" fontId="1" fillId="0" borderId="1" xfId="1" applyFont="1" applyBorder="1" applyAlignment="1">
      <alignment horizontal="right" vertical="center" wrapText="1"/>
    </xf>
    <xf numFmtId="166" fontId="1" fillId="0" borderId="1" xfId="1" applyNumberFormat="1" applyFont="1" applyBorder="1" applyAlignment="1">
      <alignment horizontal="right" vertical="center" wrapText="1"/>
    </xf>
    <xf numFmtId="166" fontId="3" fillId="0" borderId="1" xfId="0" applyNumberFormat="1" applyFont="1" applyBorder="1" applyAlignment="1">
      <alignment horizontal="right" vertical="center" wrapText="1"/>
    </xf>
    <xf numFmtId="166" fontId="2" fillId="0" borderId="10" xfId="0" applyNumberFormat="1" applyFont="1" applyBorder="1" applyAlignment="1"/>
    <xf numFmtId="164" fontId="2" fillId="0" borderId="1" xfId="0" applyNumberFormat="1" applyFont="1" applyBorder="1" applyAlignment="1">
      <alignment vertical="top" wrapText="1"/>
    </xf>
    <xf numFmtId="164" fontId="2" fillId="0" borderId="1" xfId="1" applyNumberFormat="1" applyFont="1" applyBorder="1" applyAlignment="1">
      <alignment horizontal="right" vertical="center" wrapText="1"/>
    </xf>
    <xf numFmtId="165" fontId="5" fillId="0" borderId="0" xfId="0" applyNumberFormat="1" applyFont="1" applyAlignment="1">
      <alignment horizontal="center" vertical="center" wrapText="1"/>
    </xf>
    <xf numFmtId="164" fontId="1" fillId="0" borderId="1" xfId="1" applyNumberFormat="1" applyFont="1" applyBorder="1" applyAlignment="1">
      <alignment horizontal="right" vertical="center" wrapText="1"/>
    </xf>
    <xf numFmtId="164" fontId="5" fillId="0" borderId="1" xfId="1" applyNumberFormat="1" applyFont="1" applyBorder="1" applyAlignment="1">
      <alignment horizontal="right" vertical="center" wrapText="1"/>
    </xf>
    <xf numFmtId="0" fontId="3" fillId="0" borderId="2" xfId="0" applyFont="1" applyBorder="1" applyAlignment="1">
      <alignment horizontal="left" vertical="center" wrapText="1"/>
    </xf>
    <xf numFmtId="164" fontId="2" fillId="0" borderId="2" xfId="1" applyNumberFormat="1" applyFont="1" applyBorder="1" applyAlignment="1">
      <alignment horizontal="right" vertical="top" wrapText="1"/>
    </xf>
    <xf numFmtId="164" fontId="3" fillId="0" borderId="1" xfId="1" applyNumberFormat="1" applyFont="1" applyBorder="1" applyAlignment="1">
      <alignment horizontal="right" vertical="center" wrapText="1"/>
    </xf>
    <xf numFmtId="165" fontId="5" fillId="0" borderId="2" xfId="1" applyFont="1" applyBorder="1" applyAlignment="1">
      <alignment horizontal="right" vertical="top" wrapText="1"/>
    </xf>
    <xf numFmtId="164" fontId="3" fillId="0" borderId="1" xfId="1" applyNumberFormat="1" applyFont="1" applyBorder="1" applyAlignment="1">
      <alignment horizontal="right" vertical="top" wrapText="1"/>
    </xf>
    <xf numFmtId="165" fontId="5" fillId="0" borderId="1" xfId="1" applyFont="1" applyBorder="1" applyAlignment="1">
      <alignment horizontal="right" wrapText="1"/>
    </xf>
    <xf numFmtId="0" fontId="7" fillId="0" borderId="1" xfId="0" applyFont="1" applyBorder="1" applyAlignment="1">
      <alignment horizontal="right" wrapText="1"/>
    </xf>
    <xf numFmtId="165" fontId="3" fillId="0" borderId="0" xfId="0" applyNumberFormat="1" applyFont="1" applyAlignment="1">
      <alignment horizontal="center"/>
    </xf>
    <xf numFmtId="0" fontId="2" fillId="0" borderId="0" xfId="0" applyFont="1" applyAlignment="1">
      <alignment horizontal="center" wrapText="1"/>
    </xf>
    <xf numFmtId="0" fontId="3" fillId="0" borderId="0" xfId="0" applyFont="1" applyAlignment="1">
      <alignment horizontal="left" vertical="top"/>
    </xf>
    <xf numFmtId="164" fontId="3" fillId="0" borderId="0" xfId="0" applyNumberFormat="1" applyFont="1" applyAlignment="1"/>
    <xf numFmtId="164" fontId="0" fillId="0" borderId="1" xfId="0" applyNumberFormat="1" applyFont="1" applyBorder="1"/>
    <xf numFmtId="164" fontId="5" fillId="0" borderId="0" xfId="0" applyNumberFormat="1" applyFont="1" applyAlignment="1"/>
    <xf numFmtId="165" fontId="3" fillId="0" borderId="0" xfId="0" applyNumberFormat="1" applyFont="1" applyAlignment="1"/>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center"/>
    </xf>
    <xf numFmtId="0" fontId="0" fillId="0" borderId="0" xfId="0" applyBorder="1"/>
    <xf numFmtId="0" fontId="7" fillId="0" borderId="0" xfId="0" applyFont="1" applyBorder="1" applyAlignment="1">
      <alignment horizontal="right" wrapText="1"/>
    </xf>
    <xf numFmtId="0" fontId="7" fillId="0" borderId="0" xfId="0" applyFont="1" applyBorder="1"/>
    <xf numFmtId="2" fontId="7" fillId="0" borderId="0" xfId="0" applyNumberFormat="1" applyFont="1" applyBorder="1"/>
    <xf numFmtId="166" fontId="2" fillId="3" borderId="1"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164" fontId="0" fillId="0" borderId="0" xfId="0" applyNumberFormat="1"/>
    <xf numFmtId="0" fontId="2" fillId="0" borderId="0" xfId="0" applyFont="1" applyAlignment="1">
      <alignment horizontal="left"/>
    </xf>
    <xf numFmtId="0" fontId="2" fillId="0" borderId="0" xfId="0" applyFont="1" applyAlignment="1">
      <alignment horizontal="left" vertical="center" wrapText="1"/>
    </xf>
    <xf numFmtId="0" fontId="3" fillId="0" borderId="8" xfId="0" applyFont="1" applyBorder="1" applyAlignment="1">
      <alignment horizontal="left"/>
    </xf>
    <xf numFmtId="0" fontId="2" fillId="0" borderId="0" xfId="0" applyFont="1" applyAlignment="1">
      <alignment horizontal="left"/>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center"/>
    </xf>
    <xf numFmtId="0" fontId="3" fillId="0" borderId="1" xfId="0" applyFont="1" applyBorder="1" applyAlignment="1">
      <alignment horizontal="center" wrapText="1"/>
    </xf>
    <xf numFmtId="49" fontId="27" fillId="0" borderId="0" xfId="0" applyNumberFormat="1" applyFont="1" applyAlignment="1">
      <alignment horizontal="center" vertical="center" wrapText="1"/>
    </xf>
    <xf numFmtId="168" fontId="27" fillId="0" borderId="13" xfId="0" applyNumberFormat="1" applyFont="1" applyBorder="1" applyAlignment="1">
      <alignment horizontal="center" vertical="center" wrapText="1"/>
    </xf>
    <xf numFmtId="170" fontId="27" fillId="0" borderId="13" xfId="0" applyNumberFormat="1" applyFont="1" applyBorder="1" applyAlignment="1">
      <alignment horizontal="center" vertical="center" wrapText="1"/>
    </xf>
    <xf numFmtId="4" fontId="27" fillId="0" borderId="13" xfId="0" applyNumberFormat="1" applyFont="1" applyBorder="1" applyAlignment="1">
      <alignment horizontal="center" vertical="center" wrapText="1"/>
    </xf>
    <xf numFmtId="49" fontId="27" fillId="0" borderId="13" xfId="0" applyNumberFormat="1" applyFont="1" applyBorder="1" applyAlignment="1">
      <alignment horizontal="center" vertical="center" wrapText="1"/>
    </xf>
    <xf numFmtId="0" fontId="0" fillId="0" borderId="0" xfId="0" applyFont="1" applyAlignment="1"/>
    <xf numFmtId="0" fontId="27" fillId="0" borderId="0" xfId="0" applyFont="1" applyAlignment="1">
      <alignment wrapText="1"/>
    </xf>
    <xf numFmtId="169" fontId="27" fillId="0" borderId="0" xfId="0" applyNumberFormat="1" applyFont="1" applyAlignment="1">
      <alignment wrapText="1"/>
    </xf>
    <xf numFmtId="0" fontId="1" fillId="0" borderId="0" xfId="0" applyFont="1"/>
    <xf numFmtId="169" fontId="27" fillId="0" borderId="1" xfId="0" applyNumberFormat="1" applyFont="1" applyBorder="1" applyAlignment="1">
      <alignment horizontal="left" wrapText="1"/>
    </xf>
    <xf numFmtId="168" fontId="27" fillId="0" borderId="1" xfId="0" applyNumberFormat="1" applyFont="1" applyBorder="1" applyAlignment="1">
      <alignment wrapText="1"/>
    </xf>
    <xf numFmtId="0" fontId="27" fillId="0" borderId="1" xfId="0" applyFont="1" applyBorder="1" applyAlignment="1">
      <alignment wrapText="1"/>
    </xf>
    <xf numFmtId="0" fontId="25" fillId="0" borderId="18" xfId="0" applyFont="1" applyBorder="1" applyAlignment="1">
      <alignment horizontal="center" vertical="center" wrapText="1"/>
    </xf>
    <xf numFmtId="0" fontId="35" fillId="0" borderId="18" xfId="0" applyFont="1" applyBorder="1" applyAlignment="1">
      <alignment horizontal="center" vertical="center" wrapText="1"/>
    </xf>
    <xf numFmtId="169" fontId="35" fillId="0" borderId="18" xfId="0" applyNumberFormat="1" applyFont="1" applyBorder="1" applyAlignment="1">
      <alignment horizontal="center" vertical="center" wrapText="1"/>
    </xf>
    <xf numFmtId="0" fontId="37" fillId="0" borderId="13" xfId="0" applyFont="1" applyBorder="1" applyAlignment="1">
      <alignment wrapText="1"/>
    </xf>
    <xf numFmtId="0" fontId="25" fillId="0" borderId="19" xfId="0" applyFont="1" applyBorder="1"/>
    <xf numFmtId="0" fontId="37" fillId="0" borderId="0" xfId="0" applyFont="1" applyAlignment="1">
      <alignment wrapText="1"/>
    </xf>
    <xf numFmtId="0" fontId="27" fillId="0" borderId="19" xfId="0" applyFont="1" applyBorder="1" applyAlignment="1">
      <alignment horizontal="center" wrapText="1"/>
    </xf>
    <xf numFmtId="168" fontId="27" fillId="0" borderId="19" xfId="0" applyNumberFormat="1" applyFont="1" applyBorder="1" applyAlignment="1">
      <alignment horizontal="right" wrapText="1"/>
    </xf>
    <xf numFmtId="169" fontId="27" fillId="0" borderId="19" xfId="0" applyNumberFormat="1" applyFont="1" applyBorder="1" applyAlignment="1">
      <alignment horizontal="right" wrapText="1"/>
    </xf>
    <xf numFmtId="4" fontId="27" fillId="0" borderId="19" xfId="0" applyNumberFormat="1" applyFont="1" applyBorder="1" applyAlignment="1">
      <alignment wrapText="1"/>
    </xf>
    <xf numFmtId="168" fontId="27" fillId="0" borderId="19" xfId="0" applyNumberFormat="1" applyFont="1" applyBorder="1" applyAlignment="1">
      <alignment wrapText="1"/>
    </xf>
    <xf numFmtId="0" fontId="25" fillId="0" borderId="1" xfId="0" applyFont="1" applyBorder="1"/>
    <xf numFmtId="0" fontId="37" fillId="0" borderId="1" xfId="0" applyFont="1" applyBorder="1" applyAlignment="1">
      <alignment wrapText="1"/>
    </xf>
    <xf numFmtId="0" fontId="27" fillId="0" borderId="1" xfId="0" applyFont="1" applyBorder="1" applyAlignment="1">
      <alignment horizontal="center" wrapText="1"/>
    </xf>
    <xf numFmtId="168" fontId="27" fillId="0" borderId="1" xfId="0" applyNumberFormat="1" applyFont="1" applyBorder="1" applyAlignment="1">
      <alignment horizontal="right" wrapText="1"/>
    </xf>
    <xf numFmtId="169" fontId="27" fillId="0" borderId="1" xfId="0" applyNumberFormat="1" applyFont="1" applyBorder="1" applyAlignment="1">
      <alignment horizontal="right" wrapText="1"/>
    </xf>
    <xf numFmtId="4" fontId="27" fillId="0" borderId="1" xfId="0" applyNumberFormat="1" applyFont="1" applyBorder="1" applyAlignment="1">
      <alignment wrapText="1"/>
    </xf>
    <xf numFmtId="0" fontId="25" fillId="0" borderId="18" xfId="0" applyFont="1" applyBorder="1"/>
    <xf numFmtId="0" fontId="27" fillId="0" borderId="18" xfId="0" applyFont="1" applyBorder="1" applyAlignment="1">
      <alignment horizontal="center" wrapText="1"/>
    </xf>
    <xf numFmtId="168" fontId="27" fillId="0" borderId="18" xfId="0" applyNumberFormat="1" applyFont="1" applyBorder="1" applyAlignment="1">
      <alignment horizontal="right" wrapText="1"/>
    </xf>
    <xf numFmtId="169" fontId="27" fillId="0" borderId="18" xfId="0" applyNumberFormat="1" applyFont="1" applyBorder="1" applyAlignment="1">
      <alignment horizontal="right" wrapText="1"/>
    </xf>
    <xf numFmtId="4" fontId="27" fillId="0" borderId="18" xfId="0" applyNumberFormat="1" applyFont="1" applyBorder="1" applyAlignment="1">
      <alignment wrapText="1"/>
    </xf>
    <xf numFmtId="168" fontId="27" fillId="0" borderId="18" xfId="0" applyNumberFormat="1" applyFont="1" applyBorder="1" applyAlignment="1">
      <alignment wrapText="1"/>
    </xf>
    <xf numFmtId="0" fontId="35" fillId="0" borderId="13" xfId="0" applyFont="1" applyBorder="1" applyAlignment="1">
      <alignment wrapText="1"/>
    </xf>
    <xf numFmtId="168" fontId="35" fillId="0" borderId="13" xfId="0" applyNumberFormat="1" applyFont="1" applyBorder="1" applyAlignment="1">
      <alignment horizontal="right" wrapText="1"/>
    </xf>
    <xf numFmtId="169" fontId="35" fillId="0" borderId="13" xfId="0" applyNumberFormat="1" applyFont="1" applyBorder="1" applyAlignment="1">
      <alignment horizontal="right" wrapText="1"/>
    </xf>
    <xf numFmtId="0" fontId="25" fillId="0" borderId="20" xfId="0" applyFont="1" applyBorder="1"/>
    <xf numFmtId="2" fontId="38" fillId="0" borderId="13" xfId="0" applyNumberFormat="1" applyFont="1" applyBorder="1" applyAlignment="1">
      <alignment wrapText="1"/>
    </xf>
    <xf numFmtId="0" fontId="38" fillId="0" borderId="22" xfId="0" applyFont="1" applyBorder="1" applyAlignment="1">
      <alignment wrapText="1"/>
    </xf>
    <xf numFmtId="0" fontId="27" fillId="0" borderId="23" xfId="0" applyFont="1" applyBorder="1" applyAlignment="1">
      <alignment wrapText="1"/>
    </xf>
    <xf numFmtId="169" fontId="27" fillId="0" borderId="0" xfId="0" applyNumberFormat="1" applyFont="1" applyAlignment="1">
      <alignment horizontal="right" wrapText="1"/>
    </xf>
    <xf numFmtId="169" fontId="25" fillId="0" borderId="0" xfId="0" applyNumberFormat="1" applyFont="1"/>
    <xf numFmtId="168" fontId="35" fillId="0" borderId="1" xfId="0" applyNumberFormat="1" applyFont="1" applyBorder="1" applyAlignment="1">
      <alignment wrapText="1"/>
    </xf>
    <xf numFmtId="0" fontId="2"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2"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7" fillId="0" borderId="0" xfId="0" applyFont="1" applyBorder="1" applyAlignment="1">
      <alignment horizontal="right"/>
    </xf>
    <xf numFmtId="4" fontId="7" fillId="0" borderId="0" xfId="0" applyNumberFormat="1" applyFont="1" applyBorder="1"/>
    <xf numFmtId="4" fontId="2" fillId="0" borderId="11" xfId="0" applyNumberFormat="1" applyFont="1" applyBorder="1"/>
    <xf numFmtId="164" fontId="0" fillId="0" borderId="1" xfId="0" applyNumberFormat="1" applyFont="1" applyFill="1" applyBorder="1" applyAlignment="1">
      <alignment wrapText="1"/>
    </xf>
    <xf numFmtId="0" fontId="0" fillId="0" borderId="1" xfId="0" applyBorder="1" applyAlignment="1">
      <alignment horizontal="left" vertical="top" wrapText="1"/>
    </xf>
    <xf numFmtId="164" fontId="5" fillId="0" borderId="1" xfId="0" applyNumberFormat="1" applyFont="1" applyBorder="1" applyAlignment="1">
      <alignment horizontal="left" vertical="top"/>
    </xf>
    <xf numFmtId="0" fontId="2" fillId="0" borderId="1" xfId="0" applyFont="1" applyBorder="1" applyAlignment="1">
      <alignment horizontal="center" vertical="top" wrapText="1"/>
    </xf>
    <xf numFmtId="4" fontId="7" fillId="6" borderId="9" xfId="0" applyNumberFormat="1" applyFont="1" applyFill="1" applyBorder="1" applyAlignment="1">
      <alignment horizontal="center"/>
    </xf>
    <xf numFmtId="164" fontId="39" fillId="6" borderId="16" xfId="0" applyNumberFormat="1" applyFont="1" applyFill="1" applyBorder="1" applyAlignment="1" applyProtection="1">
      <alignment horizontal="center" vertical="center" wrapText="1"/>
    </xf>
    <xf numFmtId="0" fontId="7" fillId="0" borderId="11" xfId="0" applyFont="1" applyBorder="1" applyAlignment="1">
      <alignment horizontal="right" wrapText="1"/>
    </xf>
    <xf numFmtId="0" fontId="0" fillId="0" borderId="0" xfId="0" applyAlignment="1">
      <alignment horizontal="left" wrapText="1"/>
    </xf>
    <xf numFmtId="0" fontId="2" fillId="0" borderId="1" xfId="0" applyFont="1" applyBorder="1" applyAlignment="1">
      <alignment horizontal="left" wrapText="1"/>
    </xf>
    <xf numFmtId="0" fontId="2" fillId="0" borderId="0" xfId="0" applyFont="1" applyAlignment="1">
      <alignment horizontal="left"/>
    </xf>
    <xf numFmtId="0" fontId="2" fillId="0" borderId="0" xfId="0" applyFont="1" applyAlignment="1">
      <alignment horizontal="left" vertical="center" wrapText="1"/>
    </xf>
    <xf numFmtId="0" fontId="2" fillId="0" borderId="1" xfId="0" applyFont="1" applyBorder="1" applyAlignment="1">
      <alignment horizontal="center" vertical="top" wrapText="1"/>
    </xf>
    <xf numFmtId="0" fontId="0" fillId="0" borderId="0" xfId="0" applyFill="1" applyAlignment="1">
      <alignment horizontal="left" wrapText="1"/>
    </xf>
    <xf numFmtId="0" fontId="2" fillId="0" borderId="11" xfId="0" applyFont="1" applyBorder="1" applyAlignment="1">
      <alignment horizontal="left" vertical="top" wrapText="1"/>
    </xf>
    <xf numFmtId="0" fontId="2" fillId="0" borderId="0" xfId="0" applyFont="1" applyAlignment="1">
      <alignment horizontal="left" wrapText="1"/>
    </xf>
    <xf numFmtId="0" fontId="3" fillId="0" borderId="8" xfId="0" applyFont="1" applyBorder="1" applyAlignment="1">
      <alignment horizontal="center" wrapText="1"/>
    </xf>
    <xf numFmtId="0" fontId="2" fillId="0" borderId="0" xfId="0" applyFont="1" applyAlignment="1">
      <alignment horizontal="center"/>
    </xf>
    <xf numFmtId="0" fontId="3" fillId="0" borderId="1" xfId="0" applyFont="1" applyBorder="1" applyAlignment="1">
      <alignment horizontal="center" wrapText="1"/>
    </xf>
    <xf numFmtId="2" fontId="0" fillId="0" borderId="0" xfId="0" applyNumberFormat="1"/>
    <xf numFmtId="165" fontId="0" fillId="0" borderId="1" xfId="0" applyNumberFormat="1" applyFont="1" applyBorder="1" applyAlignment="1">
      <alignment horizontal="right" vertical="top" wrapText="1"/>
    </xf>
    <xf numFmtId="165" fontId="5" fillId="0" borderId="9" xfId="1" applyFont="1" applyBorder="1" applyAlignment="1">
      <alignment horizontal="right" wrapText="1"/>
    </xf>
    <xf numFmtId="165" fontId="5" fillId="0" borderId="1" xfId="0" applyNumberFormat="1" applyFont="1" applyBorder="1" applyAlignment="1">
      <alignment horizontal="right" vertical="top" wrapText="1"/>
    </xf>
    <xf numFmtId="4" fontId="34" fillId="0" borderId="24" xfId="0" applyNumberFormat="1" applyFont="1" applyFill="1" applyBorder="1" applyAlignment="1" applyProtection="1">
      <alignment vertical="center" wrapText="1"/>
    </xf>
    <xf numFmtId="4" fontId="9" fillId="0" borderId="2" xfId="0" applyNumberFormat="1" applyFont="1" applyFill="1" applyBorder="1" applyAlignment="1">
      <alignment vertical="center" wrapText="1"/>
    </xf>
    <xf numFmtId="4" fontId="34" fillId="0" borderId="1" xfId="0" applyNumberFormat="1" applyFont="1" applyFill="1" applyBorder="1" applyAlignment="1" applyProtection="1">
      <alignment vertical="center" wrapText="1"/>
    </xf>
    <xf numFmtId="0" fontId="2" fillId="6" borderId="1" xfId="0" applyFont="1" applyFill="1" applyBorder="1" applyAlignment="1">
      <alignment wrapText="1"/>
    </xf>
    <xf numFmtId="164" fontId="2" fillId="0" borderId="6" xfId="0" applyNumberFormat="1" applyFont="1" applyBorder="1"/>
    <xf numFmtId="164" fontId="2" fillId="0" borderId="3" xfId="0" applyNumberFormat="1" applyFont="1" applyBorder="1"/>
    <xf numFmtId="164" fontId="2" fillId="0" borderId="1" xfId="0" applyNumberFormat="1" applyFont="1" applyFill="1" applyBorder="1" applyAlignment="1">
      <alignment wrapText="1"/>
    </xf>
    <xf numFmtId="4" fontId="9" fillId="0" borderId="1" xfId="0" applyNumberFormat="1" applyFont="1" applyBorder="1"/>
    <xf numFmtId="0" fontId="9" fillId="0" borderId="1" xfId="0" applyFont="1" applyBorder="1" applyAlignment="1">
      <alignment wrapText="1"/>
    </xf>
    <xf numFmtId="4" fontId="3" fillId="6" borderId="1" xfId="0" applyNumberFormat="1" applyFont="1" applyFill="1" applyBorder="1"/>
    <xf numFmtId="0" fontId="12" fillId="8" borderId="29" xfId="0" applyFont="1" applyFill="1" applyBorder="1" applyAlignment="1">
      <alignment vertical="center" wrapText="1"/>
    </xf>
    <xf numFmtId="0" fontId="12" fillId="8" borderId="29" xfId="0" applyFont="1" applyFill="1" applyBorder="1" applyAlignment="1">
      <alignment horizontal="center" vertical="center" wrapText="1"/>
    </xf>
    <xf numFmtId="0" fontId="40" fillId="8" borderId="25"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40" fillId="8" borderId="27" xfId="0" applyFont="1" applyFill="1" applyBorder="1" applyAlignment="1">
      <alignment vertical="center" wrapText="1"/>
    </xf>
    <xf numFmtId="0" fontId="9" fillId="8" borderId="28"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12" fillId="8" borderId="28" xfId="0" applyNumberFormat="1" applyFont="1" applyFill="1" applyBorder="1" applyAlignment="1">
      <alignment horizontal="center" vertical="center" wrapText="1"/>
    </xf>
    <xf numFmtId="0" fontId="40" fillId="8" borderId="26" xfId="0" applyFont="1" applyFill="1" applyBorder="1" applyAlignment="1">
      <alignment vertical="center" wrapText="1"/>
    </xf>
    <xf numFmtId="0" fontId="9" fillId="8" borderId="30" xfId="0" applyFont="1" applyFill="1" applyBorder="1" applyAlignment="1">
      <alignment horizontal="center" vertical="center" wrapText="1"/>
    </xf>
    <xf numFmtId="0" fontId="40" fillId="8" borderId="1" xfId="0" applyFont="1" applyFill="1" applyBorder="1" applyAlignment="1">
      <alignment vertical="center" wrapText="1"/>
    </xf>
    <xf numFmtId="0" fontId="9"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167" fontId="2" fillId="0" borderId="1" xfId="0" applyNumberFormat="1" applyFont="1" applyBorder="1" applyAlignment="1">
      <alignment horizontal="center" vertical="center" wrapText="1"/>
    </xf>
    <xf numFmtId="0" fontId="12" fillId="8" borderId="1" xfId="0" applyNumberFormat="1" applyFont="1" applyFill="1" applyBorder="1" applyAlignment="1">
      <alignment horizontal="center" vertical="center" wrapText="1"/>
    </xf>
    <xf numFmtId="0" fontId="12" fillId="8" borderId="1" xfId="0" applyFont="1" applyFill="1" applyBorder="1" applyAlignment="1">
      <alignment vertical="center" wrapText="1"/>
    </xf>
    <xf numFmtId="164" fontId="9" fillId="8" borderId="1" xfId="0" applyNumberFormat="1" applyFont="1" applyFill="1" applyBorder="1" applyAlignment="1">
      <alignment horizontal="center" vertical="center" wrapText="1"/>
    </xf>
    <xf numFmtId="164" fontId="9" fillId="8" borderId="30" xfId="0" applyNumberFormat="1" applyFont="1" applyFill="1" applyBorder="1" applyAlignment="1">
      <alignment horizontal="center" vertical="center" wrapText="1"/>
    </xf>
    <xf numFmtId="164" fontId="41" fillId="8" borderId="30" xfId="0" applyNumberFormat="1" applyFont="1" applyFill="1" applyBorder="1" applyAlignment="1">
      <alignment horizontal="center" vertical="center" wrapText="1"/>
    </xf>
    <xf numFmtId="164" fontId="9" fillId="8" borderId="3" xfId="0" applyNumberFormat="1" applyFont="1" applyFill="1" applyBorder="1" applyAlignment="1">
      <alignment horizontal="center" vertical="center" wrapText="1"/>
    </xf>
    <xf numFmtId="164" fontId="41" fillId="8" borderId="1" xfId="0" applyNumberFormat="1" applyFont="1" applyFill="1" applyBorder="1" applyAlignment="1">
      <alignment horizontal="center" vertical="center" wrapText="1"/>
    </xf>
    <xf numFmtId="164" fontId="9" fillId="8" borderId="0" xfId="0" applyNumberFormat="1" applyFont="1" applyFill="1" applyBorder="1" applyAlignment="1">
      <alignment horizontal="center" vertical="center" wrapText="1"/>
    </xf>
    <xf numFmtId="0" fontId="12" fillId="8" borderId="32" xfId="0" applyNumberFormat="1" applyFont="1" applyFill="1" applyBorder="1" applyAlignment="1">
      <alignment horizontal="center" vertical="center" wrapText="1"/>
    </xf>
    <xf numFmtId="0" fontId="12" fillId="8" borderId="33" xfId="0" applyFont="1" applyFill="1" applyBorder="1" applyAlignment="1">
      <alignment vertical="center" wrapText="1"/>
    </xf>
    <xf numFmtId="0" fontId="12" fillId="8" borderId="33" xfId="0" applyFont="1" applyFill="1" applyBorder="1" applyAlignment="1">
      <alignment horizontal="center" vertical="center" wrapText="1"/>
    </xf>
    <xf numFmtId="164" fontId="9" fillId="8" borderId="2" xfId="0" applyNumberFormat="1" applyFont="1" applyFill="1" applyBorder="1" applyAlignment="1">
      <alignment horizontal="center" vertical="center" wrapText="1"/>
    </xf>
    <xf numFmtId="0" fontId="20" fillId="8" borderId="1" xfId="0" applyFont="1" applyFill="1" applyBorder="1" applyAlignment="1">
      <alignment horizontal="left" vertical="center" wrapText="1"/>
    </xf>
    <xf numFmtId="164" fontId="9" fillId="8" borderId="9" xfId="0" applyNumberFormat="1" applyFont="1" applyFill="1" applyBorder="1" applyAlignment="1">
      <alignment horizontal="center" vertical="center" wrapText="1"/>
    </xf>
    <xf numFmtId="0" fontId="12" fillId="8" borderId="9" xfId="0" applyFont="1" applyFill="1" applyBorder="1" applyAlignment="1">
      <alignment vertical="center" wrapText="1"/>
    </xf>
    <xf numFmtId="0" fontId="12" fillId="0" borderId="1" xfId="0" applyFont="1" applyBorder="1" applyAlignment="1">
      <alignment wrapText="1"/>
    </xf>
    <xf numFmtId="164" fontId="5" fillId="0" borderId="0" xfId="0" applyNumberFormat="1" applyFont="1" applyAlignment="1">
      <alignment horizontal="left" vertical="top"/>
    </xf>
    <xf numFmtId="164" fontId="5" fillId="0" borderId="0" xfId="0" applyNumberFormat="1" applyFont="1" applyAlignment="1">
      <alignment horizontal="left" vertical="top" wrapText="1"/>
    </xf>
    <xf numFmtId="165" fontId="2" fillId="0" borderId="1" xfId="0" applyNumberFormat="1" applyFont="1" applyBorder="1" applyAlignment="1">
      <alignment horizontal="center" vertical="center" wrapText="1"/>
    </xf>
    <xf numFmtId="0" fontId="3" fillId="0" borderId="1" xfId="0" applyFont="1" applyBorder="1" applyAlignment="1"/>
    <xf numFmtId="164" fontId="3" fillId="0" borderId="1" xfId="0" applyNumberFormat="1" applyFont="1" applyBorder="1" applyAlignment="1"/>
    <xf numFmtId="165" fontId="3" fillId="2" borderId="1" xfId="0" applyNumberFormat="1" applyFont="1" applyFill="1" applyBorder="1"/>
    <xf numFmtId="164" fontId="5" fillId="0" borderId="1" xfId="0" applyNumberFormat="1" applyFont="1" applyBorder="1" applyAlignment="1"/>
    <xf numFmtId="165" fontId="5" fillId="0" borderId="0" xfId="0" applyNumberFormat="1" applyFont="1" applyAlignment="1"/>
    <xf numFmtId="165" fontId="0" fillId="0" borderId="0" xfId="0" applyNumberFormat="1" applyFont="1" applyAlignment="1">
      <alignment wrapText="1"/>
    </xf>
    <xf numFmtId="0" fontId="2" fillId="0" borderId="1" xfId="0" applyFont="1" applyBorder="1" applyAlignment="1">
      <alignment horizontal="left" vertical="top" wrapText="1"/>
    </xf>
    <xf numFmtId="0" fontId="12" fillId="0" borderId="0" xfId="0" applyFont="1"/>
    <xf numFmtId="0" fontId="12" fillId="0" borderId="0" xfId="0" applyFont="1" applyAlignment="1">
      <alignment wrapText="1"/>
    </xf>
    <xf numFmtId="4" fontId="33" fillId="6" borderId="1" xfId="0" applyNumberFormat="1" applyFont="1" applyFill="1" applyBorder="1" applyAlignment="1">
      <alignment horizontal="center" wrapText="1"/>
    </xf>
    <xf numFmtId="4" fontId="33" fillId="0" borderId="1" xfId="0" applyNumberFormat="1" applyFont="1" applyBorder="1" applyAlignment="1">
      <alignment horizontal="center" wrapText="1"/>
    </xf>
    <xf numFmtId="0" fontId="3" fillId="0" borderId="11" xfId="0" applyFont="1" applyBorder="1" applyAlignment="1">
      <alignment horizontal="center" wrapText="1"/>
    </xf>
    <xf numFmtId="0" fontId="0" fillId="0" borderId="1" xfId="0" applyFont="1" applyBorder="1" applyAlignment="1">
      <alignment horizontal="center" vertical="top" wrapText="1"/>
    </xf>
    <xf numFmtId="165" fontId="1" fillId="0" borderId="1" xfId="1" applyFont="1" applyBorder="1" applyAlignment="1">
      <alignment horizontal="right" wrapText="1"/>
    </xf>
    <xf numFmtId="0" fontId="12" fillId="0" borderId="0" xfId="0" applyFont="1" applyAlignment="1">
      <alignment horizontal="left"/>
    </xf>
    <xf numFmtId="165" fontId="3" fillId="0" borderId="0" xfId="0" applyNumberFormat="1" applyFont="1" applyAlignment="1">
      <alignment wrapText="1"/>
    </xf>
    <xf numFmtId="165" fontId="3" fillId="0" borderId="1" xfId="0" applyNumberFormat="1" applyFont="1" applyBorder="1" applyAlignment="1">
      <alignment horizontal="right" wrapText="1"/>
    </xf>
    <xf numFmtId="0" fontId="0" fillId="0" borderId="1" xfId="0" applyFont="1" applyBorder="1" applyAlignment="1">
      <alignment vertical="top" wrapText="1"/>
    </xf>
    <xf numFmtId="0" fontId="9" fillId="0" borderId="0" xfId="0" applyFont="1" applyAlignment="1">
      <alignment wrapText="1"/>
    </xf>
    <xf numFmtId="0" fontId="7" fillId="0" borderId="0" xfId="0" applyFont="1" applyBorder="1" applyAlignment="1">
      <alignment horizontal="center" wrapText="1"/>
    </xf>
    <xf numFmtId="0" fontId="0" fillId="0" borderId="0" xfId="0" applyBorder="1" applyAlignment="1">
      <alignment horizontal="left" wrapText="1"/>
    </xf>
    <xf numFmtId="2" fontId="5" fillId="0" borderId="1" xfId="0" applyNumberFormat="1" applyFont="1" applyBorder="1" applyAlignment="1">
      <alignment horizontal="right" wrapText="1"/>
    </xf>
    <xf numFmtId="0" fontId="5" fillId="3" borderId="2" xfId="0" applyFont="1" applyFill="1" applyBorder="1"/>
    <xf numFmtId="0" fontId="2" fillId="3" borderId="2" xfId="0" applyFont="1" applyFill="1" applyBorder="1" applyAlignment="1">
      <alignment vertical="top" wrapText="1"/>
    </xf>
    <xf numFmtId="0" fontId="2" fillId="3" borderId="2" xfId="0" applyFont="1" applyFill="1" applyBorder="1" applyAlignment="1">
      <alignment horizontal="center" wrapText="1"/>
    </xf>
    <xf numFmtId="4" fontId="2" fillId="3" borderId="2" xfId="0" applyNumberFormat="1" applyFont="1" applyFill="1" applyBorder="1" applyAlignment="1">
      <alignment horizontal="right" vertical="top" wrapText="1"/>
    </xf>
    <xf numFmtId="4" fontId="2" fillId="3" borderId="1" xfId="0" applyNumberFormat="1" applyFont="1" applyFill="1" applyBorder="1" applyAlignment="1">
      <alignment horizontal="right" vertical="top" wrapText="1"/>
    </xf>
    <xf numFmtId="164" fontId="2" fillId="6" borderId="1" xfId="0" applyNumberFormat="1" applyFont="1" applyFill="1" applyBorder="1" applyAlignment="1">
      <alignment horizontal="right" vertical="center" wrapText="1"/>
    </xf>
    <xf numFmtId="4" fontId="2" fillId="0" borderId="1" xfId="0" applyNumberFormat="1" applyFont="1" applyBorder="1" applyAlignment="1">
      <alignment vertical="center"/>
    </xf>
    <xf numFmtId="0" fontId="5" fillId="0" borderId="1" xfId="0" applyNumberFormat="1" applyFont="1" applyBorder="1" applyAlignment="1">
      <alignment horizontal="center" vertical="top"/>
    </xf>
    <xf numFmtId="165" fontId="2" fillId="6" borderId="1" xfId="1" applyFont="1" applyFill="1" applyBorder="1" applyAlignment="1">
      <alignment horizontal="right" vertical="center" wrapText="1"/>
    </xf>
    <xf numFmtId="0" fontId="7" fillId="0" borderId="1" xfId="0" applyFont="1" applyBorder="1" applyAlignment="1">
      <alignment horizontal="center" wrapText="1"/>
    </xf>
    <xf numFmtId="0" fontId="3" fillId="0" borderId="1" xfId="0" applyFont="1" applyBorder="1" applyAlignment="1">
      <alignment horizontal="center" wrapText="1"/>
    </xf>
    <xf numFmtId="0" fontId="7" fillId="0" borderId="11" xfId="0" applyFont="1" applyBorder="1" applyAlignment="1">
      <alignment horizontal="right"/>
    </xf>
    <xf numFmtId="0" fontId="2" fillId="0" borderId="0" xfId="0" applyFont="1" applyAlignment="1">
      <alignment horizontal="left"/>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0" fillId="0" borderId="0" xfId="0" applyFill="1" applyAlignment="1">
      <alignment horizontal="left" wrapText="1"/>
    </xf>
    <xf numFmtId="0" fontId="5" fillId="0" borderId="1" xfId="0" applyFont="1" applyBorder="1" applyAlignment="1">
      <alignment horizontal="left" wrapText="1"/>
    </xf>
    <xf numFmtId="0" fontId="0" fillId="0" borderId="0" xfId="0" applyAlignment="1">
      <alignment horizontal="left" vertical="top" wrapText="1"/>
    </xf>
    <xf numFmtId="49" fontId="16"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0" fontId="0" fillId="0" borderId="0" xfId="0" applyFont="1" applyAlignment="1">
      <alignment horizontal="left" wrapText="1"/>
    </xf>
    <xf numFmtId="0" fontId="4" fillId="0" borderId="0" xfId="0" applyFont="1" applyAlignment="1">
      <alignment horizontal="center" vertical="center" wrapText="1"/>
    </xf>
    <xf numFmtId="0" fontId="3" fillId="0" borderId="0" xfId="0" applyFont="1" applyAlignment="1">
      <alignment horizontal="center"/>
    </xf>
    <xf numFmtId="0" fontId="7" fillId="0" borderId="11" xfId="0" applyFont="1" applyBorder="1" applyAlignment="1">
      <alignment horizontal="right"/>
    </xf>
    <xf numFmtId="0" fontId="0" fillId="0" borderId="0" xfId="0" applyAlignment="1">
      <alignment horizontal="left" wrapText="1"/>
    </xf>
    <xf numFmtId="0" fontId="16" fillId="0" borderId="0" xfId="0" applyFont="1" applyAlignment="1">
      <alignment horizontal="left" vertical="top" wrapText="1"/>
    </xf>
    <xf numFmtId="49" fontId="27" fillId="0" borderId="0" xfId="0" applyNumberFormat="1" applyFont="1" applyAlignment="1">
      <alignment horizontal="left" vertical="top" wrapText="1"/>
    </xf>
    <xf numFmtId="0" fontId="0" fillId="0" borderId="0" xfId="0" applyFont="1" applyAlignment="1"/>
    <xf numFmtId="0" fontId="35" fillId="0" borderId="0" xfId="0" applyFont="1" applyAlignment="1">
      <alignment horizontal="center" wrapText="1"/>
    </xf>
    <xf numFmtId="0" fontId="35" fillId="0" borderId="0" xfId="0" applyFont="1" applyAlignment="1">
      <alignment horizontal="center" vertical="center" wrapText="1"/>
    </xf>
    <xf numFmtId="0" fontId="25" fillId="0" borderId="0" xfId="0" applyFont="1" applyAlignment="1">
      <alignment horizontal="left" vertical="top" wrapText="1"/>
    </xf>
    <xf numFmtId="0" fontId="2" fillId="0" borderId="1" xfId="0" applyFont="1" applyBorder="1" applyAlignment="1">
      <alignment horizontal="left" wrapText="1"/>
    </xf>
    <xf numFmtId="0" fontId="38" fillId="0" borderId="21" xfId="0" applyFont="1" applyBorder="1" applyAlignment="1">
      <alignment horizontal="right" wrapText="1"/>
    </xf>
    <xf numFmtId="0" fontId="36" fillId="0" borderId="21" xfId="0" applyFont="1" applyBorder="1"/>
    <xf numFmtId="0" fontId="36" fillId="0" borderId="22" xfId="0" applyFont="1" applyBorder="1"/>
    <xf numFmtId="0" fontId="2" fillId="0" borderId="0" xfId="0" applyFont="1" applyAlignment="1">
      <alignment horizontal="left"/>
    </xf>
    <xf numFmtId="0" fontId="2" fillId="0" borderId="0" xfId="0" applyFont="1" applyAlignment="1">
      <alignment horizontal="left" vertical="top" wrapText="1"/>
    </xf>
    <xf numFmtId="49" fontId="14" fillId="0" borderId="0" xfId="2" applyNumberFormat="1" applyFont="1" applyAlignment="1">
      <alignment horizontal="center" vertical="center" wrapText="1"/>
    </xf>
    <xf numFmtId="0" fontId="16" fillId="0" borderId="10" xfId="2" applyFont="1" applyBorder="1" applyAlignment="1">
      <alignment horizontal="left" vertical="center" wrapText="1"/>
    </xf>
    <xf numFmtId="0" fontId="3" fillId="0" borderId="0" xfId="0" applyFont="1" applyAlignment="1">
      <alignment horizontal="center" vertical="center"/>
    </xf>
    <xf numFmtId="0" fontId="0" fillId="0" borderId="12" xfId="0" applyFill="1" applyBorder="1" applyAlignment="1">
      <alignment horizontal="left" wrapText="1"/>
    </xf>
    <xf numFmtId="0" fontId="2" fillId="0" borderId="0" xfId="0" applyFont="1" applyAlignment="1">
      <alignment horizontal="left" vertical="center" wrapText="1"/>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7" fillId="0" borderId="8" xfId="0" applyFont="1" applyFill="1" applyBorder="1" applyAlignment="1">
      <alignment horizontal="center" wrapText="1"/>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Border="1" applyAlignment="1">
      <alignment horizontal="lef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6" borderId="4"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1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9" xfId="0" applyFont="1" applyFill="1" applyBorder="1" applyAlignment="1">
      <alignment horizontal="left" vertical="top" wrapText="1"/>
    </xf>
    <xf numFmtId="0" fontId="0" fillId="0" borderId="8" xfId="0" applyBorder="1" applyAlignment="1">
      <alignment horizontal="left" wrapText="1"/>
    </xf>
    <xf numFmtId="0" fontId="0" fillId="0" borderId="11" xfId="0" applyBorder="1" applyAlignment="1">
      <alignment horizontal="left" wrapText="1"/>
    </xf>
    <xf numFmtId="0" fontId="0" fillId="0" borderId="9" xfId="0" applyBorder="1" applyAlignment="1">
      <alignment horizontal="left" wrapText="1"/>
    </xf>
    <xf numFmtId="0" fontId="0" fillId="3" borderId="8" xfId="0" applyFill="1" applyBorder="1" applyAlignment="1">
      <alignment horizontal="center"/>
    </xf>
    <xf numFmtId="0" fontId="0" fillId="3" borderId="11" xfId="0" applyFill="1" applyBorder="1" applyAlignment="1">
      <alignment horizontal="center"/>
    </xf>
    <xf numFmtId="0" fontId="0" fillId="3" borderId="9" xfId="0" applyFill="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3" fillId="6" borderId="8" xfId="0" applyFont="1" applyFill="1" applyBorder="1" applyAlignment="1">
      <alignment horizontal="center"/>
    </xf>
    <xf numFmtId="0" fontId="3" fillId="6" borderId="9" xfId="0" applyFont="1" applyFill="1" applyBorder="1" applyAlignment="1">
      <alignment horizontal="center"/>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5" fillId="0" borderId="2" xfId="0" applyFont="1" applyBorder="1" applyAlignment="1">
      <alignment vertical="center"/>
    </xf>
    <xf numFmtId="0" fontId="5" fillId="0" borderId="3" xfId="0" applyFont="1" applyBorder="1" applyAlignment="1">
      <alignment vertical="center"/>
    </xf>
    <xf numFmtId="0" fontId="3" fillId="0" borderId="4" xfId="0" applyFont="1" applyBorder="1" applyAlignment="1">
      <alignment horizontal="center" vertical="top" wrapText="1"/>
    </xf>
    <xf numFmtId="0" fontId="3" fillId="0" borderId="12" xfId="0" applyFont="1" applyBorder="1" applyAlignment="1">
      <alignment horizontal="center" vertical="top" wrapText="1"/>
    </xf>
    <xf numFmtId="0" fontId="3" fillId="0" borderId="5" xfId="0" applyFont="1" applyBorder="1" applyAlignment="1">
      <alignment horizontal="center" vertical="top" wrapText="1"/>
    </xf>
    <xf numFmtId="0" fontId="5" fillId="0" borderId="1" xfId="0" applyFont="1" applyBorder="1" applyAlignment="1">
      <alignment vertical="center"/>
    </xf>
    <xf numFmtId="0" fontId="2" fillId="0" borderId="1" xfId="0" applyFont="1" applyBorder="1" applyAlignment="1">
      <alignment horizontal="center" vertical="top" wrapText="1"/>
    </xf>
    <xf numFmtId="0" fontId="7" fillId="0" borderId="9" xfId="0" applyFont="1" applyBorder="1" applyAlignment="1">
      <alignment horizontal="center"/>
    </xf>
    <xf numFmtId="0" fontId="7" fillId="4" borderId="1" xfId="0" applyFont="1" applyFill="1" applyBorder="1" applyAlignment="1">
      <alignment horizontal="left"/>
    </xf>
    <xf numFmtId="0" fontId="23" fillId="0" borderId="0" xfId="0" applyFont="1" applyAlignment="1">
      <alignment horizontal="left" vertical="top" wrapText="1"/>
    </xf>
    <xf numFmtId="0" fontId="7" fillId="0" borderId="1" xfId="0" applyFont="1" applyBorder="1" applyAlignment="1">
      <alignment horizontal="center" wrapText="1"/>
    </xf>
    <xf numFmtId="0" fontId="7" fillId="0" borderId="1" xfId="0" applyFont="1" applyFill="1" applyBorder="1" applyAlignment="1">
      <alignment horizontal="center" wrapText="1"/>
    </xf>
    <xf numFmtId="0" fontId="0" fillId="0" borderId="12" xfId="0" applyBorder="1" applyAlignment="1">
      <alignment horizontal="left" wrapText="1"/>
    </xf>
    <xf numFmtId="0" fontId="17" fillId="0" borderId="1" xfId="0"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wrapText="1"/>
    </xf>
    <xf numFmtId="0" fontId="5" fillId="0" borderId="1" xfId="0" applyFont="1" applyBorder="1" applyAlignment="1">
      <alignment horizontal="left" wrapText="1"/>
    </xf>
    <xf numFmtId="0" fontId="0" fillId="0" borderId="8" xfId="0" applyFont="1" applyBorder="1" applyAlignment="1">
      <alignment horizontal="left" vertical="top" wrapText="1"/>
    </xf>
    <xf numFmtId="0" fontId="0" fillId="0" borderId="11" xfId="0" applyFont="1" applyBorder="1" applyAlignment="1">
      <alignment horizontal="left" vertical="top" wrapText="1"/>
    </xf>
    <xf numFmtId="0" fontId="0" fillId="0" borderId="9" xfId="0" applyFont="1" applyBorder="1" applyAlignment="1">
      <alignment horizontal="left" vertical="top" wrapText="1"/>
    </xf>
    <xf numFmtId="0" fontId="3" fillId="0" borderId="8" xfId="0" applyFont="1" applyBorder="1" applyAlignment="1">
      <alignment horizontal="center"/>
    </xf>
    <xf numFmtId="0" fontId="3" fillId="0" borderId="9" xfId="0" applyFont="1" applyBorder="1" applyAlignment="1">
      <alignment horizontal="center"/>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left" vertical="top" wrapText="1"/>
    </xf>
    <xf numFmtId="0" fontId="0" fillId="0" borderId="1" xfId="0" applyBorder="1" applyAlignment="1">
      <alignment horizontal="left" wrapText="1"/>
    </xf>
    <xf numFmtId="0" fontId="0" fillId="0" borderId="0" xfId="0" applyFill="1" applyAlignment="1">
      <alignment horizontal="left"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0" fillId="0" borderId="8" xfId="0" applyFont="1" applyFill="1" applyBorder="1" applyAlignment="1">
      <alignment horizontal="center" wrapText="1"/>
    </xf>
    <xf numFmtId="0" fontId="0" fillId="0" borderId="11" xfId="0" applyFont="1" applyFill="1" applyBorder="1" applyAlignment="1">
      <alignment horizontal="center" wrapText="1"/>
    </xf>
    <xf numFmtId="0" fontId="0" fillId="0" borderId="9" xfId="0" applyFont="1" applyFill="1" applyBorder="1" applyAlignment="1">
      <alignment horizontal="center" wrapText="1"/>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4" fontId="2" fillId="0" borderId="9" xfId="0" applyNumberFormat="1" applyFont="1" applyBorder="1" applyAlignment="1">
      <alignment horizontal="left" wrapText="1"/>
    </xf>
    <xf numFmtId="0" fontId="6" fillId="0" borderId="0" xfId="0" applyFont="1" applyBorder="1" applyAlignment="1">
      <alignment horizontal="left" vertical="center" wrapText="1"/>
    </xf>
    <xf numFmtId="0" fontId="6" fillId="0" borderId="10" xfId="0" applyFont="1" applyBorder="1" applyAlignment="1">
      <alignment horizontal="center" vertical="center" wrapText="1"/>
    </xf>
    <xf numFmtId="0" fontId="0" fillId="0" borderId="0" xfId="0" applyAlignment="1">
      <alignment horizontal="left"/>
    </xf>
    <xf numFmtId="0" fontId="3" fillId="0" borderId="0" xfId="0" applyFont="1" applyBorder="1" applyAlignment="1">
      <alignment horizontal="center" vertical="center"/>
    </xf>
    <xf numFmtId="0" fontId="2" fillId="0" borderId="0" xfId="0" applyFont="1" applyAlignment="1">
      <alignment horizontal="left"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2" fillId="6" borderId="0" xfId="0" applyFont="1" applyFill="1" applyAlignment="1">
      <alignment horizontal="left" vertical="top" wrapText="1"/>
    </xf>
    <xf numFmtId="0" fontId="3" fillId="0" borderId="8" xfId="0" applyFont="1" applyBorder="1" applyAlignment="1">
      <alignment horizontal="left"/>
    </xf>
    <xf numFmtId="0" fontId="3" fillId="0" borderId="9" xfId="0" applyFont="1" applyBorder="1" applyAlignment="1">
      <alignment horizontal="left"/>
    </xf>
    <xf numFmtId="0" fontId="0" fillId="0" borderId="1" xfId="0" applyBorder="1" applyAlignment="1">
      <alignment horizontal="center"/>
    </xf>
    <xf numFmtId="0" fontId="5" fillId="0" borderId="0" xfId="0" applyFont="1" applyAlignment="1">
      <alignment horizontal="center"/>
    </xf>
    <xf numFmtId="0" fontId="5" fillId="0" borderId="0" xfId="0" applyFont="1" applyAlignment="1">
      <alignment horizontal="center" wrapText="1"/>
    </xf>
    <xf numFmtId="0" fontId="0" fillId="0" borderId="2"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4" xfId="0" applyFont="1" applyBorder="1" applyAlignment="1">
      <alignment horizontal="left" vertical="top" wrapText="1"/>
    </xf>
    <xf numFmtId="0" fontId="0" fillId="0" borderId="12" xfId="0" applyFont="1" applyBorder="1" applyAlignment="1">
      <alignment horizontal="left" vertical="top" wrapText="1"/>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0" fillId="0" borderId="0" xfId="0" applyAlignment="1">
      <alignment horizontal="left" vertical="top"/>
    </xf>
    <xf numFmtId="0" fontId="3" fillId="0" borderId="0" xfId="0" applyFont="1" applyBorder="1" applyAlignment="1">
      <alignment horizontal="center" vertical="center" wrapText="1"/>
    </xf>
    <xf numFmtId="0" fontId="12" fillId="8" borderId="2" xfId="0" applyFont="1" applyFill="1" applyBorder="1" applyAlignment="1">
      <alignment horizontal="left" vertical="top" wrapText="1"/>
    </xf>
    <xf numFmtId="0" fontId="12" fillId="8" borderId="3" xfId="0" applyFont="1" applyFill="1" applyBorder="1" applyAlignment="1">
      <alignment horizontal="left" vertical="top"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164" fontId="9" fillId="8" borderId="2" xfId="0" applyNumberFormat="1" applyFont="1" applyFill="1" applyBorder="1" applyAlignment="1">
      <alignment horizontal="center" vertical="center" wrapText="1"/>
    </xf>
    <xf numFmtId="164" fontId="9" fillId="8" borderId="3"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165" fontId="2" fillId="0" borderId="2" xfId="0" applyNumberFormat="1" applyFont="1" applyBorder="1" applyAlignment="1">
      <alignment horizontal="center" vertical="top" wrapText="1"/>
    </xf>
    <xf numFmtId="165" fontId="2" fillId="0" borderId="3" xfId="0" applyNumberFormat="1" applyFont="1" applyBorder="1" applyAlignment="1">
      <alignment horizontal="center" vertical="top" wrapText="1"/>
    </xf>
    <xf numFmtId="0" fontId="2" fillId="0" borderId="0" xfId="0" applyFont="1" applyBorder="1" applyAlignment="1">
      <alignment horizontal="left" vertical="center" wrapText="1"/>
    </xf>
    <xf numFmtId="0" fontId="20" fillId="8" borderId="31" xfId="0" applyFont="1" applyFill="1" applyBorder="1" applyAlignment="1">
      <alignment horizontal="left" vertical="center" wrapText="1"/>
    </xf>
    <xf numFmtId="0" fontId="20" fillId="8" borderId="0" xfId="0" applyFont="1" applyFill="1" applyBorder="1" applyAlignment="1">
      <alignment horizontal="left" vertical="center" wrapText="1"/>
    </xf>
    <xf numFmtId="0" fontId="20" fillId="8" borderId="15" xfId="0" applyFont="1" applyFill="1" applyBorder="1" applyAlignment="1">
      <alignment horizontal="left" vertical="center"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0" fillId="0" borderId="0" xfId="0" applyFont="1" applyBorder="1" applyAlignment="1">
      <alignment horizontal="left" vertical="center" wrapText="1"/>
    </xf>
    <xf numFmtId="0" fontId="2" fillId="0" borderId="0" xfId="0" applyFont="1" applyAlignment="1">
      <alignment horizont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1" fillId="0" borderId="0" xfId="0" applyFont="1" applyAlignment="1">
      <alignment horizontal="left" vertical="center" wrapText="1"/>
    </xf>
    <xf numFmtId="0" fontId="2" fillId="0" borderId="0" xfId="0" applyFont="1" applyAlignment="1">
      <alignment horizont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wrapText="1"/>
    </xf>
    <xf numFmtId="0" fontId="6" fillId="0" borderId="0" xfId="0" applyFont="1" applyBorder="1" applyAlignment="1">
      <alignment horizontal="left" vertical="top" wrapText="1"/>
    </xf>
    <xf numFmtId="0" fontId="0" fillId="6" borderId="4" xfId="0" applyFill="1" applyBorder="1" applyAlignment="1">
      <alignment horizontal="left" vertical="top" wrapText="1"/>
    </xf>
    <xf numFmtId="0" fontId="0" fillId="6" borderId="12" xfId="0" applyFill="1" applyBorder="1" applyAlignment="1">
      <alignment horizontal="left" vertical="top" wrapText="1"/>
    </xf>
    <xf numFmtId="0" fontId="0" fillId="6" borderId="5" xfId="0" applyFill="1" applyBorder="1" applyAlignment="1">
      <alignment horizontal="left" vertical="top" wrapText="1"/>
    </xf>
    <xf numFmtId="0" fontId="0" fillId="6" borderId="14" xfId="0" applyFill="1" applyBorder="1" applyAlignment="1">
      <alignment horizontal="left" vertical="top" wrapText="1"/>
    </xf>
    <xf numFmtId="0" fontId="0" fillId="6" borderId="0" xfId="0" applyFill="1" applyBorder="1" applyAlignment="1">
      <alignment horizontal="left" vertical="top" wrapText="1"/>
    </xf>
    <xf numFmtId="0" fontId="0" fillId="6" borderId="15" xfId="0" applyFill="1" applyBorder="1" applyAlignment="1">
      <alignment horizontal="left" vertical="top" wrapText="1"/>
    </xf>
    <xf numFmtId="0" fontId="0" fillId="6" borderId="7" xfId="0" applyFill="1" applyBorder="1" applyAlignment="1">
      <alignment horizontal="left" vertical="top" wrapText="1"/>
    </xf>
    <xf numFmtId="0" fontId="0" fillId="6" borderId="10" xfId="0" applyFill="1" applyBorder="1" applyAlignment="1">
      <alignment horizontal="left" vertical="top" wrapText="1"/>
    </xf>
    <xf numFmtId="0" fontId="0" fillId="6" borderId="6" xfId="0" applyFill="1" applyBorder="1" applyAlignment="1">
      <alignment horizontal="left" vertical="top" wrapText="1"/>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0" xfId="0" applyFont="1" applyFill="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Alignment="1">
      <alignment horizontal="left" vertical="top" wrapText="1"/>
    </xf>
    <xf numFmtId="0" fontId="2" fillId="0" borderId="10" xfId="0" applyFont="1" applyBorder="1" applyAlignment="1">
      <alignment horizontal="center"/>
    </xf>
    <xf numFmtId="0" fontId="7" fillId="0" borderId="7" xfId="0" applyFont="1" applyFill="1" applyBorder="1" applyAlignment="1">
      <alignment horizontal="center" wrapText="1"/>
    </xf>
    <xf numFmtId="0" fontId="7" fillId="0" borderId="10" xfId="0" applyFont="1" applyFill="1" applyBorder="1" applyAlignment="1">
      <alignment horizontal="center" wrapText="1"/>
    </xf>
    <xf numFmtId="0" fontId="17" fillId="0" borderId="0" xfId="0" applyFont="1" applyAlignment="1">
      <alignment horizontal="left" vertical="top" wrapText="1"/>
    </xf>
    <xf numFmtId="0" fontId="42" fillId="0" borderId="0" xfId="0" applyFont="1" applyAlignment="1">
      <alignment horizontal="left" vertical="top"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2"/>
  <sheetViews>
    <sheetView zoomScaleNormal="100" workbookViewId="0">
      <selection activeCell="J9" sqref="J9"/>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73" customWidth="1"/>
    <col min="6" max="6" width="16.85546875" customWidth="1"/>
    <col min="7" max="7" width="16.28515625" customWidth="1"/>
    <col min="9" max="9" width="28.28515625" customWidth="1"/>
  </cols>
  <sheetData>
    <row r="1" spans="1:7" ht="15.75" x14ac:dyDescent="0.25">
      <c r="B1" s="1"/>
      <c r="C1" s="1"/>
      <c r="D1" s="1"/>
      <c r="E1" s="174"/>
      <c r="F1" s="1" t="s">
        <v>585</v>
      </c>
    </row>
    <row r="2" spans="1:7" ht="15.75" x14ac:dyDescent="0.25">
      <c r="B2" s="1"/>
      <c r="C2" s="1"/>
      <c r="D2" s="1"/>
      <c r="E2" s="174"/>
      <c r="F2" t="s">
        <v>171</v>
      </c>
      <c r="G2" s="1"/>
    </row>
    <row r="3" spans="1:7" ht="15.75" x14ac:dyDescent="0.25">
      <c r="B3" s="1"/>
      <c r="C3" s="1"/>
      <c r="D3" s="1"/>
      <c r="E3" s="174"/>
      <c r="F3" t="s">
        <v>586</v>
      </c>
      <c r="G3" s="1"/>
    </row>
    <row r="4" spans="1:7" ht="15.75" x14ac:dyDescent="0.25">
      <c r="A4" s="627" t="s">
        <v>122</v>
      </c>
      <c r="B4" s="627"/>
      <c r="C4" s="627"/>
      <c r="D4" s="627"/>
      <c r="E4" s="627"/>
      <c r="F4" s="627"/>
      <c r="G4" s="627"/>
    </row>
    <row r="5" spans="1:7" ht="22.5" customHeight="1" x14ac:dyDescent="0.25">
      <c r="A5" s="626" t="s">
        <v>258</v>
      </c>
      <c r="B5" s="626"/>
      <c r="C5" s="626"/>
      <c r="D5" s="626"/>
      <c r="E5" s="626"/>
      <c r="F5" s="626"/>
      <c r="G5" s="626"/>
    </row>
    <row r="6" spans="1:7" ht="249" customHeight="1" x14ac:dyDescent="0.25">
      <c r="A6" s="624" t="s">
        <v>108</v>
      </c>
      <c r="B6" s="624"/>
      <c r="C6" s="624"/>
      <c r="D6" s="624"/>
      <c r="E6" s="624"/>
      <c r="F6" s="624"/>
      <c r="G6" s="624"/>
    </row>
    <row r="7" spans="1:7" ht="15.75" customHeight="1" x14ac:dyDescent="0.25">
      <c r="A7" s="628" t="s">
        <v>107</v>
      </c>
      <c r="B7" s="628"/>
      <c r="C7" s="628"/>
      <c r="D7" s="628"/>
      <c r="E7" s="180"/>
      <c r="F7" s="338">
        <f>+F17</f>
        <v>3628000</v>
      </c>
      <c r="G7" s="179"/>
    </row>
    <row r="8" spans="1:7" ht="58.5" customHeight="1" x14ac:dyDescent="0.25">
      <c r="A8" s="95" t="s">
        <v>22</v>
      </c>
      <c r="B8" s="10" t="s">
        <v>106</v>
      </c>
      <c r="C8" s="10" t="s">
        <v>6</v>
      </c>
      <c r="D8" s="10" t="s">
        <v>1</v>
      </c>
      <c r="E8" s="178" t="s">
        <v>6</v>
      </c>
      <c r="F8" s="10" t="s">
        <v>7</v>
      </c>
      <c r="G8" s="10" t="s">
        <v>5</v>
      </c>
    </row>
    <row r="9" spans="1:7" ht="115.5" x14ac:dyDescent="0.25">
      <c r="A9" s="323">
        <v>813242</v>
      </c>
      <c r="B9" s="324" t="s">
        <v>201</v>
      </c>
      <c r="C9" s="325">
        <v>344</v>
      </c>
      <c r="D9" s="326">
        <v>2495000</v>
      </c>
      <c r="E9" s="327">
        <v>337</v>
      </c>
      <c r="F9" s="328">
        <v>2643000</v>
      </c>
      <c r="G9" s="326">
        <f t="shared" ref="G9:G14" si="0">D9-F9</f>
        <v>-148000</v>
      </c>
    </row>
    <row r="10" spans="1:7" ht="93" customHeight="1" x14ac:dyDescent="0.25">
      <c r="A10" s="323">
        <v>813242</v>
      </c>
      <c r="B10" s="324" t="s">
        <v>202</v>
      </c>
      <c r="C10" s="325">
        <v>5</v>
      </c>
      <c r="D10" s="326">
        <v>250000</v>
      </c>
      <c r="E10" s="327">
        <v>2</v>
      </c>
      <c r="F10" s="328">
        <v>100000</v>
      </c>
      <c r="G10" s="326">
        <f t="shared" si="0"/>
        <v>150000</v>
      </c>
    </row>
    <row r="11" spans="1:7" ht="67.5" customHeight="1" x14ac:dyDescent="0.25">
      <c r="A11" s="323">
        <v>813242</v>
      </c>
      <c r="B11" s="324" t="s">
        <v>203</v>
      </c>
      <c r="C11" s="325">
        <v>15</v>
      </c>
      <c r="D11" s="326">
        <v>75000</v>
      </c>
      <c r="E11" s="327">
        <v>13</v>
      </c>
      <c r="F11" s="328">
        <v>65000</v>
      </c>
      <c r="G11" s="326">
        <f t="shared" si="0"/>
        <v>10000</v>
      </c>
    </row>
    <row r="12" spans="1:7" ht="108.75" customHeight="1" x14ac:dyDescent="0.25">
      <c r="A12" s="323">
        <v>813242</v>
      </c>
      <c r="B12" s="324" t="s">
        <v>204</v>
      </c>
      <c r="C12" s="325">
        <v>3</v>
      </c>
      <c r="D12" s="326">
        <v>60000</v>
      </c>
      <c r="E12" s="327">
        <v>3</v>
      </c>
      <c r="F12" s="328">
        <v>60000</v>
      </c>
      <c r="G12" s="326">
        <f t="shared" si="0"/>
        <v>0</v>
      </c>
    </row>
    <row r="13" spans="1:7" ht="76.5" customHeight="1" x14ac:dyDescent="0.25">
      <c r="A13" s="323">
        <v>813242</v>
      </c>
      <c r="B13" s="329" t="s">
        <v>205</v>
      </c>
      <c r="C13" s="325">
        <v>3</v>
      </c>
      <c r="D13" s="326">
        <v>150000</v>
      </c>
      <c r="E13" s="327">
        <v>3</v>
      </c>
      <c r="F13" s="328">
        <v>150000</v>
      </c>
      <c r="G13" s="326">
        <f t="shared" si="0"/>
        <v>0</v>
      </c>
    </row>
    <row r="14" spans="1:7" ht="96" customHeight="1" x14ac:dyDescent="0.25">
      <c r="A14" s="323">
        <v>813242</v>
      </c>
      <c r="B14" s="324" t="s">
        <v>266</v>
      </c>
      <c r="C14" s="325">
        <v>5</v>
      </c>
      <c r="D14" s="326">
        <v>125000</v>
      </c>
      <c r="E14" s="327">
        <v>5</v>
      </c>
      <c r="F14" s="328">
        <v>125000</v>
      </c>
      <c r="G14" s="330">
        <f t="shared" si="0"/>
        <v>0</v>
      </c>
    </row>
    <row r="15" spans="1:7" ht="51.75" x14ac:dyDescent="0.25">
      <c r="A15" s="323">
        <v>813242</v>
      </c>
      <c r="B15" s="177" t="s">
        <v>267</v>
      </c>
      <c r="C15" s="13">
        <v>13</v>
      </c>
      <c r="D15" s="8">
        <v>455000</v>
      </c>
      <c r="E15" s="176">
        <v>13</v>
      </c>
      <c r="F15" s="6">
        <v>455000</v>
      </c>
      <c r="G15" s="9">
        <f t="shared" ref="G15:G17" si="1">D15-F15</f>
        <v>0</v>
      </c>
    </row>
    <row r="16" spans="1:7" ht="88.5" customHeight="1" x14ac:dyDescent="0.25">
      <c r="A16" s="323">
        <v>813242</v>
      </c>
      <c r="B16" s="177" t="s">
        <v>268</v>
      </c>
      <c r="C16" s="13">
        <v>2</v>
      </c>
      <c r="D16" s="8">
        <v>30000</v>
      </c>
      <c r="E16" s="176">
        <v>2</v>
      </c>
      <c r="F16" s="6">
        <v>30000</v>
      </c>
      <c r="G16" s="9">
        <f t="shared" si="1"/>
        <v>0</v>
      </c>
    </row>
    <row r="17" spans="1:7" ht="15.75" x14ac:dyDescent="0.25">
      <c r="A17" s="39"/>
      <c r="B17" s="5" t="s">
        <v>3</v>
      </c>
      <c r="C17" s="5"/>
      <c r="D17" s="7">
        <f>SUM(D9:D16)</f>
        <v>3640000</v>
      </c>
      <c r="E17" s="175"/>
      <c r="F17" s="7">
        <f>SUM(F9:F16)</f>
        <v>3628000</v>
      </c>
      <c r="G17" s="16">
        <f t="shared" si="1"/>
        <v>12000</v>
      </c>
    </row>
    <row r="18" spans="1:7" ht="15.75" x14ac:dyDescent="0.25">
      <c r="A18" s="59"/>
      <c r="B18" s="629" t="s">
        <v>35</v>
      </c>
      <c r="C18" s="629"/>
      <c r="D18" s="629"/>
      <c r="E18" s="630"/>
      <c r="F18" s="71">
        <f>F17/D17*100</f>
        <v>99.670329670329664</v>
      </c>
      <c r="G18" s="56" t="s">
        <v>34</v>
      </c>
    </row>
    <row r="19" spans="1:7" s="12" customFormat="1" ht="26.25" customHeight="1" x14ac:dyDescent="0.25">
      <c r="A19" s="625" t="s">
        <v>172</v>
      </c>
      <c r="B19" s="625"/>
      <c r="C19" s="625"/>
      <c r="D19" s="625"/>
      <c r="E19" s="625"/>
      <c r="F19" s="625"/>
      <c r="G19" s="625"/>
    </row>
    <row r="20" spans="1:7" ht="15.75" x14ac:dyDescent="0.25">
      <c r="B20" s="1"/>
      <c r="C20" s="1"/>
      <c r="D20" s="1"/>
      <c r="E20" s="174"/>
      <c r="F20" s="1"/>
      <c r="G20" s="1"/>
    </row>
    <row r="21" spans="1:7" ht="15.75" x14ac:dyDescent="0.25">
      <c r="B21" s="1"/>
      <c r="C21" s="1"/>
      <c r="D21" s="1"/>
      <c r="E21" s="174"/>
      <c r="F21" s="1"/>
      <c r="G21" s="1"/>
    </row>
    <row r="22" spans="1:7" ht="15.75" x14ac:dyDescent="0.25">
      <c r="A22" t="s">
        <v>173</v>
      </c>
      <c r="B22" s="1"/>
      <c r="C22" s="179"/>
      <c r="D22" s="1"/>
      <c r="E22" s="295" t="s">
        <v>174</v>
      </c>
      <c r="F22" s="1" t="s">
        <v>175</v>
      </c>
      <c r="G22" s="1"/>
    </row>
  </sheetData>
  <mergeCells count="6">
    <mergeCell ref="A6:G6"/>
    <mergeCell ref="A19:G19"/>
    <mergeCell ref="A5:G5"/>
    <mergeCell ref="A4:G4"/>
    <mergeCell ref="A7:D7"/>
    <mergeCell ref="B18:E18"/>
  </mergeCells>
  <pageMargins left="0.39370078740157483" right="0.3937007874015748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2"/>
  <sheetViews>
    <sheetView workbookViewId="0">
      <selection activeCell="F3" sqref="F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73" customWidth="1"/>
    <col min="6" max="6" width="16.85546875" customWidth="1"/>
    <col min="7" max="7" width="16.28515625" customWidth="1"/>
    <col min="9" max="9" width="28.28515625" customWidth="1"/>
  </cols>
  <sheetData>
    <row r="1" spans="1:7" ht="15.75" x14ac:dyDescent="0.25">
      <c r="B1" s="1"/>
      <c r="C1" s="1"/>
      <c r="D1" s="1"/>
      <c r="E1" s="174"/>
      <c r="F1" s="1" t="s">
        <v>587</v>
      </c>
    </row>
    <row r="2" spans="1:7" ht="15.75" x14ac:dyDescent="0.25">
      <c r="B2" s="1"/>
      <c r="C2" s="1"/>
      <c r="D2" s="1"/>
      <c r="E2" s="174"/>
      <c r="F2" t="s">
        <v>171</v>
      </c>
      <c r="G2" s="1"/>
    </row>
    <row r="3" spans="1:7" ht="15.75" x14ac:dyDescent="0.25">
      <c r="B3" s="1"/>
      <c r="C3" s="1"/>
      <c r="D3" s="1"/>
      <c r="E3" s="174"/>
      <c r="F3" t="s">
        <v>588</v>
      </c>
      <c r="G3" s="1"/>
    </row>
    <row r="4" spans="1:7" ht="15.75" x14ac:dyDescent="0.25">
      <c r="A4" s="627" t="s">
        <v>122</v>
      </c>
      <c r="B4" s="627"/>
      <c r="C4" s="627"/>
      <c r="D4" s="627"/>
      <c r="E4" s="627"/>
      <c r="F4" s="627"/>
      <c r="G4" s="627"/>
    </row>
    <row r="5" spans="1:7" ht="36" customHeight="1" x14ac:dyDescent="0.25">
      <c r="A5" s="626" t="s">
        <v>259</v>
      </c>
      <c r="B5" s="626"/>
      <c r="C5" s="626"/>
      <c r="D5" s="626"/>
      <c r="E5" s="626"/>
      <c r="F5" s="626"/>
      <c r="G5" s="626"/>
    </row>
    <row r="6" spans="1:7" ht="71.25" customHeight="1" x14ac:dyDescent="0.25">
      <c r="A6" s="624" t="s">
        <v>185</v>
      </c>
      <c r="B6" s="624"/>
      <c r="C6" s="624"/>
      <c r="D6" s="624"/>
      <c r="E6" s="624"/>
      <c r="F6" s="624"/>
      <c r="G6" s="624"/>
    </row>
    <row r="7" spans="1:7" ht="15.75" customHeight="1" x14ac:dyDescent="0.25">
      <c r="A7" s="628" t="s">
        <v>107</v>
      </c>
      <c r="B7" s="628"/>
      <c r="C7" s="628"/>
      <c r="D7" s="628"/>
      <c r="E7" s="180"/>
      <c r="F7" s="338">
        <f>+F17</f>
        <v>2150000</v>
      </c>
      <c r="G7" s="179"/>
    </row>
    <row r="8" spans="1:7" ht="58.5" customHeight="1" x14ac:dyDescent="0.25">
      <c r="A8" s="95" t="s">
        <v>22</v>
      </c>
      <c r="B8" s="10" t="s">
        <v>106</v>
      </c>
      <c r="C8" s="10" t="s">
        <v>6</v>
      </c>
      <c r="D8" s="10" t="s">
        <v>1</v>
      </c>
      <c r="E8" s="178" t="s">
        <v>6</v>
      </c>
      <c r="F8" s="10" t="s">
        <v>7</v>
      </c>
      <c r="G8" s="10" t="s">
        <v>5</v>
      </c>
    </row>
    <row r="9" spans="1:7" ht="15.75" x14ac:dyDescent="0.25">
      <c r="A9" s="323">
        <v>813242</v>
      </c>
      <c r="B9" s="324" t="s">
        <v>186</v>
      </c>
      <c r="C9" s="325">
        <v>220</v>
      </c>
      <c r="D9" s="326">
        <v>2150000</v>
      </c>
      <c r="E9" s="327">
        <v>220</v>
      </c>
      <c r="F9" s="328">
        <v>2150000</v>
      </c>
      <c r="G9" s="326">
        <f t="shared" ref="G9:G10" si="0">D9-F9</f>
        <v>0</v>
      </c>
    </row>
    <row r="10" spans="1:7" ht="21.75" hidden="1" customHeight="1" x14ac:dyDescent="0.25">
      <c r="A10" s="331"/>
      <c r="B10" s="324"/>
      <c r="C10" s="325"/>
      <c r="D10" s="326"/>
      <c r="E10" s="327"/>
      <c r="F10" s="328"/>
      <c r="G10" s="326">
        <f t="shared" si="0"/>
        <v>0</v>
      </c>
    </row>
    <row r="11" spans="1:7" ht="18.75" hidden="1" customHeight="1" x14ac:dyDescent="0.25">
      <c r="A11" s="39"/>
      <c r="B11" s="177"/>
      <c r="C11" s="13"/>
      <c r="D11" s="8"/>
      <c r="E11" s="176"/>
      <c r="F11" s="6"/>
      <c r="G11" s="16">
        <f t="shared" ref="G11:G17" si="1">D11-F11</f>
        <v>0</v>
      </c>
    </row>
    <row r="12" spans="1:7" ht="14.25" hidden="1" customHeight="1" x14ac:dyDescent="0.25">
      <c r="A12" s="39"/>
      <c r="B12" s="177"/>
      <c r="C12" s="13"/>
      <c r="D12" s="8"/>
      <c r="E12" s="176"/>
      <c r="F12" s="6"/>
      <c r="G12" s="16">
        <f t="shared" si="1"/>
        <v>0</v>
      </c>
    </row>
    <row r="13" spans="1:7" ht="18" hidden="1" customHeight="1" x14ac:dyDescent="0.25">
      <c r="A13" s="39"/>
      <c r="B13" s="322"/>
      <c r="C13" s="13"/>
      <c r="D13" s="8"/>
      <c r="E13" s="176"/>
      <c r="F13" s="6"/>
      <c r="G13" s="16">
        <f t="shared" si="1"/>
        <v>0</v>
      </c>
    </row>
    <row r="14" spans="1:7" ht="15" hidden="1" customHeight="1" x14ac:dyDescent="0.25">
      <c r="A14" s="39"/>
      <c r="B14" s="177"/>
      <c r="C14" s="13"/>
      <c r="D14" s="8"/>
      <c r="E14" s="176"/>
      <c r="F14" s="6"/>
      <c r="G14" s="9">
        <f t="shared" si="1"/>
        <v>0</v>
      </c>
    </row>
    <row r="15" spans="1:7" ht="15.75" hidden="1" x14ac:dyDescent="0.25">
      <c r="A15" s="39"/>
      <c r="B15" s="177"/>
      <c r="C15" s="13"/>
      <c r="D15" s="8"/>
      <c r="E15" s="176"/>
      <c r="F15" s="6"/>
      <c r="G15" s="9">
        <f t="shared" si="1"/>
        <v>0</v>
      </c>
    </row>
    <row r="16" spans="1:7" ht="15.75" x14ac:dyDescent="0.25">
      <c r="A16" s="39"/>
      <c r="B16" s="3"/>
      <c r="C16" s="13"/>
      <c r="D16" s="8"/>
      <c r="E16" s="176"/>
      <c r="F16" s="6"/>
      <c r="G16" s="9">
        <f t="shared" si="1"/>
        <v>0</v>
      </c>
    </row>
    <row r="17" spans="1:7" ht="15.75" x14ac:dyDescent="0.25">
      <c r="A17" s="39"/>
      <c r="B17" s="5" t="s">
        <v>3</v>
      </c>
      <c r="C17" s="5"/>
      <c r="D17" s="7">
        <f>SUM(D9:D16)</f>
        <v>2150000</v>
      </c>
      <c r="E17" s="175"/>
      <c r="F17" s="7">
        <f>SUM(F9:F16)</f>
        <v>2150000</v>
      </c>
      <c r="G17" s="16">
        <f t="shared" si="1"/>
        <v>0</v>
      </c>
    </row>
    <row r="18" spans="1:7" ht="15.75" x14ac:dyDescent="0.25">
      <c r="A18" s="59"/>
      <c r="B18" s="629" t="s">
        <v>35</v>
      </c>
      <c r="C18" s="629"/>
      <c r="D18" s="629"/>
      <c r="E18" s="630"/>
      <c r="F18" s="71">
        <f>F17/D17*100</f>
        <v>100</v>
      </c>
      <c r="G18" s="56" t="s">
        <v>34</v>
      </c>
    </row>
    <row r="19" spans="1:7" s="12" customFormat="1" ht="26.25" customHeight="1" x14ac:dyDescent="0.25">
      <c r="A19" s="625" t="s">
        <v>172</v>
      </c>
      <c r="B19" s="625"/>
      <c r="C19" s="625"/>
      <c r="D19" s="625"/>
      <c r="E19" s="625"/>
      <c r="F19" s="625"/>
      <c r="G19" s="625"/>
    </row>
    <row r="20" spans="1:7" ht="15.75" x14ac:dyDescent="0.25">
      <c r="B20" s="1"/>
      <c r="C20" s="1"/>
      <c r="D20" s="1"/>
      <c r="E20" s="174"/>
      <c r="F20" s="1"/>
      <c r="G20" s="1"/>
    </row>
    <row r="21" spans="1:7" ht="15.75" x14ac:dyDescent="0.25">
      <c r="B21" s="1"/>
      <c r="C21" s="1"/>
      <c r="D21" s="1"/>
      <c r="E21" s="174"/>
      <c r="F21" s="1"/>
      <c r="G21" s="1"/>
    </row>
    <row r="22" spans="1:7" ht="15.75" x14ac:dyDescent="0.25">
      <c r="A22" t="s">
        <v>173</v>
      </c>
      <c r="B22" s="1"/>
      <c r="C22" s="179"/>
      <c r="D22" s="1"/>
      <c r="E22" s="295" t="s">
        <v>174</v>
      </c>
      <c r="F22" s="1" t="s">
        <v>175</v>
      </c>
      <c r="G22" s="1"/>
    </row>
  </sheetData>
  <mergeCells count="6">
    <mergeCell ref="A19:G19"/>
    <mergeCell ref="A4:G4"/>
    <mergeCell ref="A5:G5"/>
    <mergeCell ref="A6:G6"/>
    <mergeCell ref="A7:D7"/>
    <mergeCell ref="B18:E18"/>
  </mergeCells>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18"/>
  <sheetViews>
    <sheetView workbookViewId="0">
      <selection activeCell="J6" sqref="J6"/>
    </sheetView>
  </sheetViews>
  <sheetFormatPr defaultRowHeight="15.75" x14ac:dyDescent="0.25"/>
  <cols>
    <col min="1" max="1" width="8" customWidth="1"/>
    <col min="2" max="2" width="30.85546875" style="15" customWidth="1"/>
    <col min="3" max="3" width="15.5703125" style="15" customWidth="1"/>
    <col min="4" max="4" width="13.85546875" style="15" customWidth="1"/>
    <col min="5" max="5" width="35.85546875" style="15" customWidth="1"/>
    <col min="6" max="6" width="18.140625" style="15" customWidth="1"/>
    <col min="7" max="7" width="15.42578125" style="15" customWidth="1"/>
    <col min="8" max="8" width="15.28515625" style="15" customWidth="1"/>
  </cols>
  <sheetData>
    <row r="1" spans="1:8" x14ac:dyDescent="0.25">
      <c r="F1" s="631" t="s">
        <v>589</v>
      </c>
      <c r="G1" s="631"/>
    </row>
    <row r="2" spans="1:8" x14ac:dyDescent="0.25">
      <c r="F2" t="s">
        <v>171</v>
      </c>
      <c r="G2" s="1"/>
    </row>
    <row r="3" spans="1:8" x14ac:dyDescent="0.25">
      <c r="B3"/>
      <c r="C3"/>
      <c r="D3"/>
      <c r="E3"/>
      <c r="F3" t="s">
        <v>586</v>
      </c>
      <c r="G3" s="1"/>
      <c r="H3"/>
    </row>
    <row r="4" spans="1:8" x14ac:dyDescent="0.25">
      <c r="A4" s="633" t="s">
        <v>122</v>
      </c>
      <c r="B4" s="633"/>
      <c r="C4" s="633"/>
      <c r="D4" s="633"/>
      <c r="E4" s="633"/>
      <c r="F4" s="633"/>
      <c r="G4" s="633"/>
      <c r="H4"/>
    </row>
    <row r="5" spans="1:8" ht="68.25" customHeight="1" x14ac:dyDescent="0.25">
      <c r="A5" s="632" t="s">
        <v>260</v>
      </c>
      <c r="B5" s="632"/>
      <c r="C5" s="632"/>
      <c r="D5" s="632"/>
      <c r="E5" s="632"/>
      <c r="F5" s="632"/>
      <c r="G5" s="632"/>
      <c r="H5"/>
    </row>
    <row r="6" spans="1:8" ht="160.5" customHeight="1" x14ac:dyDescent="0.25">
      <c r="A6" s="636" t="s">
        <v>261</v>
      </c>
      <c r="B6" s="636"/>
      <c r="C6" s="636"/>
      <c r="D6" s="636"/>
      <c r="E6" s="636"/>
      <c r="F6" s="636"/>
      <c r="G6" s="636"/>
      <c r="H6"/>
    </row>
    <row r="7" spans="1:8" ht="15" x14ac:dyDescent="0.25">
      <c r="A7" t="s">
        <v>287</v>
      </c>
      <c r="B7"/>
      <c r="C7"/>
      <c r="D7"/>
      <c r="E7"/>
      <c r="F7" s="339">
        <f>F12</f>
        <v>60539.14</v>
      </c>
      <c r="G7" t="s">
        <v>32</v>
      </c>
      <c r="H7"/>
    </row>
    <row r="8" spans="1:8" ht="31.5" x14ac:dyDescent="0.25">
      <c r="A8" s="39" t="s">
        <v>22</v>
      </c>
      <c r="B8" s="2" t="s">
        <v>0</v>
      </c>
      <c r="C8" s="10" t="s">
        <v>6</v>
      </c>
      <c r="D8" s="2" t="s">
        <v>1</v>
      </c>
      <c r="E8" s="10" t="s">
        <v>6</v>
      </c>
      <c r="F8" s="2" t="s">
        <v>2</v>
      </c>
      <c r="G8" s="2" t="s">
        <v>4</v>
      </c>
      <c r="H8"/>
    </row>
    <row r="9" spans="1:8" ht="97.5" customHeight="1" x14ac:dyDescent="0.25">
      <c r="A9" s="332">
        <v>813032</v>
      </c>
      <c r="B9" s="333" t="s">
        <v>187</v>
      </c>
      <c r="C9" s="333">
        <v>161</v>
      </c>
      <c r="D9" s="469">
        <v>170000</v>
      </c>
      <c r="E9" s="468" t="s">
        <v>269</v>
      </c>
      <c r="F9" s="471">
        <v>57575.76</v>
      </c>
      <c r="G9" s="470">
        <f t="shared" ref="G9:G10" si="0">D9-F9</f>
        <v>112424.23999999999</v>
      </c>
      <c r="H9"/>
    </row>
    <row r="10" spans="1:8" ht="126" customHeight="1" x14ac:dyDescent="0.25">
      <c r="A10" s="332">
        <v>813031</v>
      </c>
      <c r="B10" s="333" t="s">
        <v>184</v>
      </c>
      <c r="C10" s="333">
        <v>59</v>
      </c>
      <c r="D10" s="326">
        <v>60000</v>
      </c>
      <c r="E10" s="472">
        <v>2</v>
      </c>
      <c r="F10" s="471">
        <v>2963.38</v>
      </c>
      <c r="G10" s="470">
        <f t="shared" si="0"/>
        <v>57036.62</v>
      </c>
      <c r="H10"/>
    </row>
    <row r="11" spans="1:8" ht="37.5" customHeight="1" x14ac:dyDescent="0.25">
      <c r="A11" s="272"/>
      <c r="B11" s="1"/>
      <c r="C11" s="1"/>
      <c r="D11" s="274"/>
      <c r="E11" s="274"/>
      <c r="F11" s="275"/>
      <c r="G11" s="270"/>
      <c r="H11"/>
    </row>
    <row r="12" spans="1:8" x14ac:dyDescent="0.25">
      <c r="A12" s="57"/>
      <c r="B12" s="213" t="s">
        <v>3</v>
      </c>
      <c r="C12" s="213"/>
      <c r="D12" s="269">
        <f>SUM(D9:D11)</f>
        <v>230000</v>
      </c>
      <c r="E12" s="269"/>
      <c r="F12" s="269">
        <f>SUM(F9:F11)</f>
        <v>60539.14</v>
      </c>
      <c r="G12" s="270">
        <f t="shared" ref="G12" si="1">D12-F12</f>
        <v>169460.86</v>
      </c>
    </row>
    <row r="13" spans="1:8" x14ac:dyDescent="0.25">
      <c r="A13" s="59"/>
      <c r="B13" s="634" t="s">
        <v>35</v>
      </c>
      <c r="C13" s="634"/>
      <c r="D13" s="634"/>
      <c r="E13" s="313"/>
      <c r="F13" s="271">
        <f>F12/D12*100</f>
        <v>26.321365217391303</v>
      </c>
      <c r="G13" s="64" t="s">
        <v>34</v>
      </c>
    </row>
    <row r="15" spans="1:8" ht="30" customHeight="1" x14ac:dyDescent="0.25">
      <c r="A15" s="635" t="s">
        <v>160</v>
      </c>
      <c r="B15" s="635"/>
      <c r="C15" s="635"/>
      <c r="D15" s="635"/>
      <c r="E15" s="635"/>
      <c r="F15" s="635"/>
      <c r="G15" s="635"/>
    </row>
    <row r="18" spans="1:7" x14ac:dyDescent="0.25">
      <c r="A18" t="s">
        <v>173</v>
      </c>
      <c r="D18" s="296"/>
      <c r="E18" s="305"/>
      <c r="F18" s="131" t="s">
        <v>174</v>
      </c>
      <c r="G18" s="15" t="s">
        <v>175</v>
      </c>
    </row>
  </sheetData>
  <mergeCells count="6">
    <mergeCell ref="F1:G1"/>
    <mergeCell ref="A5:G5"/>
    <mergeCell ref="A4:G4"/>
    <mergeCell ref="B13:D13"/>
    <mergeCell ref="A15:G15"/>
    <mergeCell ref="A6:G6"/>
  </mergeCells>
  <pageMargins left="0.70866141732283472" right="0.70866141732283472" top="0.74803149606299213" bottom="0.74803149606299213" header="0.31496062992125984" footer="0.31496062992125984"/>
  <pageSetup paperSize="9" scale="95"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2"/>
  <sheetViews>
    <sheetView workbookViewId="0">
      <selection activeCell="F1" sqref="F1"/>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73" customWidth="1"/>
    <col min="6" max="6" width="16.85546875" customWidth="1"/>
    <col min="7" max="7" width="16.28515625" customWidth="1"/>
    <col min="9" max="9" width="28.28515625" customWidth="1"/>
  </cols>
  <sheetData>
    <row r="1" spans="1:7" ht="15.75" x14ac:dyDescent="0.25">
      <c r="B1" s="1"/>
      <c r="C1" s="1"/>
      <c r="D1" s="1"/>
      <c r="E1" s="174"/>
      <c r="F1" s="1" t="s">
        <v>590</v>
      </c>
    </row>
    <row r="2" spans="1:7" ht="15.75" x14ac:dyDescent="0.25">
      <c r="B2" s="1"/>
      <c r="C2" s="1"/>
      <c r="D2" s="1"/>
      <c r="E2" s="174"/>
      <c r="F2" t="s">
        <v>171</v>
      </c>
      <c r="G2" s="1"/>
    </row>
    <row r="3" spans="1:7" ht="15.75" x14ac:dyDescent="0.25">
      <c r="B3" s="1"/>
      <c r="C3" s="1"/>
      <c r="D3" s="1"/>
      <c r="E3" s="174"/>
      <c r="F3" t="s">
        <v>588</v>
      </c>
      <c r="G3" s="1"/>
    </row>
    <row r="4" spans="1:7" ht="15.75" x14ac:dyDescent="0.25">
      <c r="A4" s="627" t="s">
        <v>122</v>
      </c>
      <c r="B4" s="627"/>
      <c r="C4" s="627"/>
      <c r="D4" s="627"/>
      <c r="E4" s="627"/>
      <c r="F4" s="627"/>
      <c r="G4" s="627"/>
    </row>
    <row r="5" spans="1:7" ht="50.25" customHeight="1" x14ac:dyDescent="0.25">
      <c r="A5" s="626" t="s">
        <v>262</v>
      </c>
      <c r="B5" s="626"/>
      <c r="C5" s="626"/>
      <c r="D5" s="626"/>
      <c r="E5" s="626"/>
      <c r="F5" s="626"/>
      <c r="G5" s="626"/>
    </row>
    <row r="6" spans="1:7" ht="59.25" customHeight="1" x14ac:dyDescent="0.25">
      <c r="A6" s="624" t="s">
        <v>188</v>
      </c>
      <c r="B6" s="624"/>
      <c r="C6" s="624"/>
      <c r="D6" s="624"/>
      <c r="E6" s="624"/>
      <c r="F6" s="624"/>
      <c r="G6" s="624"/>
    </row>
    <row r="7" spans="1:7" ht="15.75" customHeight="1" x14ac:dyDescent="0.25">
      <c r="A7" s="628" t="s">
        <v>107</v>
      </c>
      <c r="B7" s="628"/>
      <c r="C7" s="628"/>
      <c r="D7" s="628"/>
      <c r="E7" s="180"/>
      <c r="F7" s="338">
        <f>+F17</f>
        <v>395192.31</v>
      </c>
      <c r="G7" s="179"/>
    </row>
    <row r="8" spans="1:7" ht="58.5" customHeight="1" x14ac:dyDescent="0.25">
      <c r="A8" s="95" t="s">
        <v>22</v>
      </c>
      <c r="B8" s="10" t="s">
        <v>106</v>
      </c>
      <c r="C8" s="10" t="s">
        <v>6</v>
      </c>
      <c r="D8" s="10" t="s">
        <v>1</v>
      </c>
      <c r="E8" s="178" t="s">
        <v>6</v>
      </c>
      <c r="F8" s="10" t="s">
        <v>7</v>
      </c>
      <c r="G8" s="10" t="s">
        <v>5</v>
      </c>
    </row>
    <row r="9" spans="1:7" ht="15.75" x14ac:dyDescent="0.25">
      <c r="A9" s="323">
        <v>813160</v>
      </c>
      <c r="B9" s="324" t="s">
        <v>189</v>
      </c>
      <c r="C9" s="325">
        <v>15</v>
      </c>
      <c r="D9" s="326">
        <v>525600</v>
      </c>
      <c r="E9" s="327">
        <v>20</v>
      </c>
      <c r="F9" s="328">
        <v>395192.31</v>
      </c>
      <c r="G9" s="326">
        <f t="shared" ref="G9" si="0">D9-F9</f>
        <v>130407.69</v>
      </c>
    </row>
    <row r="10" spans="1:7" ht="21.75" customHeight="1" x14ac:dyDescent="0.25">
      <c r="A10" s="39"/>
      <c r="B10" s="177"/>
      <c r="C10" s="13"/>
      <c r="D10" s="8"/>
      <c r="E10" s="176"/>
      <c r="F10" s="6"/>
      <c r="G10" s="16">
        <f t="shared" ref="G10:G17" si="1">D10-F10</f>
        <v>0</v>
      </c>
    </row>
    <row r="11" spans="1:7" ht="18.75" customHeight="1" x14ac:dyDescent="0.25">
      <c r="A11" s="39"/>
      <c r="B11" s="177"/>
      <c r="C11" s="13"/>
      <c r="D11" s="8"/>
      <c r="E11" s="176"/>
      <c r="F11" s="6"/>
      <c r="G11" s="16">
        <f t="shared" si="1"/>
        <v>0</v>
      </c>
    </row>
    <row r="12" spans="1:7" ht="14.25" customHeight="1" x14ac:dyDescent="0.25">
      <c r="A12" s="39"/>
      <c r="B12" s="177"/>
      <c r="C12" s="13"/>
      <c r="D12" s="8"/>
      <c r="E12" s="176"/>
      <c r="F12" s="6"/>
      <c r="G12" s="16">
        <f t="shared" si="1"/>
        <v>0</v>
      </c>
    </row>
    <row r="13" spans="1:7" ht="18" customHeight="1" x14ac:dyDescent="0.25">
      <c r="A13" s="39"/>
      <c r="B13" s="322"/>
      <c r="C13" s="13"/>
      <c r="D13" s="8"/>
      <c r="E13" s="176"/>
      <c r="F13" s="6"/>
      <c r="G13" s="16">
        <f t="shared" si="1"/>
        <v>0</v>
      </c>
    </row>
    <row r="14" spans="1:7" ht="15" customHeight="1" x14ac:dyDescent="0.25">
      <c r="A14" s="39"/>
      <c r="B14" s="177"/>
      <c r="C14" s="13"/>
      <c r="D14" s="8"/>
      <c r="E14" s="176"/>
      <c r="F14" s="6"/>
      <c r="G14" s="9">
        <f t="shared" si="1"/>
        <v>0</v>
      </c>
    </row>
    <row r="15" spans="1:7" ht="15.75" x14ac:dyDescent="0.25">
      <c r="A15" s="39"/>
      <c r="B15" s="177"/>
      <c r="C15" s="13"/>
      <c r="D15" s="8"/>
      <c r="E15" s="176"/>
      <c r="F15" s="6"/>
      <c r="G15" s="9">
        <f t="shared" si="1"/>
        <v>0</v>
      </c>
    </row>
    <row r="16" spans="1:7" ht="15.75" x14ac:dyDescent="0.25">
      <c r="A16" s="39"/>
      <c r="B16" s="3"/>
      <c r="C16" s="13"/>
      <c r="D16" s="8"/>
      <c r="E16" s="176"/>
      <c r="F16" s="6"/>
      <c r="G16" s="9">
        <f t="shared" si="1"/>
        <v>0</v>
      </c>
    </row>
    <row r="17" spans="1:7" ht="15.75" x14ac:dyDescent="0.25">
      <c r="A17" s="39"/>
      <c r="B17" s="5" t="s">
        <v>3</v>
      </c>
      <c r="C17" s="5"/>
      <c r="D17" s="7">
        <f>SUM(D9:D16)</f>
        <v>525600</v>
      </c>
      <c r="E17" s="175"/>
      <c r="F17" s="7">
        <f>SUM(F9:F16)</f>
        <v>395192.31</v>
      </c>
      <c r="G17" s="16">
        <f t="shared" si="1"/>
        <v>130407.69</v>
      </c>
    </row>
    <row r="18" spans="1:7" ht="15.75" x14ac:dyDescent="0.25">
      <c r="A18" s="59"/>
      <c r="B18" s="629" t="s">
        <v>35</v>
      </c>
      <c r="C18" s="629"/>
      <c r="D18" s="629"/>
      <c r="E18" s="630"/>
      <c r="F18" s="71">
        <f>F17/D17*100</f>
        <v>75.188795662100461</v>
      </c>
      <c r="G18" s="56" t="s">
        <v>34</v>
      </c>
    </row>
    <row r="19" spans="1:7" s="12" customFormat="1" ht="26.25" customHeight="1" x14ac:dyDescent="0.25">
      <c r="A19" s="625" t="s">
        <v>172</v>
      </c>
      <c r="B19" s="625"/>
      <c r="C19" s="625"/>
      <c r="D19" s="625"/>
      <c r="E19" s="625"/>
      <c r="F19" s="625"/>
      <c r="G19" s="625"/>
    </row>
    <row r="20" spans="1:7" ht="15.75" x14ac:dyDescent="0.25">
      <c r="B20" s="1"/>
      <c r="C20" s="1"/>
      <c r="D20" s="1"/>
      <c r="E20" s="174"/>
      <c r="F20" s="1"/>
      <c r="G20" s="1"/>
    </row>
    <row r="21" spans="1:7" ht="15.75" x14ac:dyDescent="0.25">
      <c r="B21" s="1"/>
      <c r="C21" s="1"/>
      <c r="D21" s="1"/>
      <c r="E21" s="174"/>
      <c r="F21" s="1"/>
      <c r="G21" s="1"/>
    </row>
    <row r="22" spans="1:7" ht="15.75" x14ac:dyDescent="0.25">
      <c r="A22" t="s">
        <v>173</v>
      </c>
      <c r="B22" s="1"/>
      <c r="C22" s="179"/>
      <c r="D22" s="1"/>
      <c r="E22" s="295" t="s">
        <v>174</v>
      </c>
      <c r="F22" s="1" t="s">
        <v>175</v>
      </c>
      <c r="G22" s="1"/>
    </row>
  </sheetData>
  <mergeCells count="6">
    <mergeCell ref="A19:G19"/>
    <mergeCell ref="A4:G4"/>
    <mergeCell ref="A5:G5"/>
    <mergeCell ref="A6:G6"/>
    <mergeCell ref="A7:D7"/>
    <mergeCell ref="B18:E18"/>
  </mergeCells>
  <pageMargins left="0.70866141732283472" right="0.70866141732283472"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9"/>
  <sheetViews>
    <sheetView workbookViewId="0">
      <selection activeCell="F3" sqref="F3"/>
    </sheetView>
  </sheetViews>
  <sheetFormatPr defaultColWidth="14.42578125" defaultRowHeight="15" x14ac:dyDescent="0.25"/>
  <cols>
    <col min="1" max="1" width="16.7109375" style="473" customWidth="1"/>
    <col min="2" max="2" width="58.140625" style="473" customWidth="1"/>
    <col min="3" max="3" width="8.7109375" style="473" customWidth="1"/>
    <col min="4" max="4" width="19" style="473" customWidth="1"/>
    <col min="5" max="5" width="8.7109375" style="473" customWidth="1"/>
    <col min="6" max="6" width="22.85546875" style="473" customWidth="1"/>
    <col min="7" max="7" width="22" style="473" customWidth="1"/>
    <col min="8" max="26" width="8.7109375" style="473" customWidth="1"/>
    <col min="27" max="16384" width="14.42578125" style="473"/>
  </cols>
  <sheetData>
    <row r="1" spans="1:7" ht="15" customHeight="1" x14ac:dyDescent="0.25">
      <c r="B1" s="474"/>
      <c r="C1" s="474"/>
      <c r="D1" s="474"/>
      <c r="E1" s="475"/>
      <c r="F1" s="474" t="s">
        <v>591</v>
      </c>
    </row>
    <row r="2" spans="1:7" ht="15" customHeight="1" x14ac:dyDescent="0.25">
      <c r="B2" s="474"/>
      <c r="C2" s="474"/>
      <c r="D2" s="474"/>
      <c r="E2" s="475"/>
      <c r="F2" s="476" t="s">
        <v>171</v>
      </c>
      <c r="G2" s="474"/>
    </row>
    <row r="3" spans="1:7" ht="15" customHeight="1" x14ac:dyDescent="0.25">
      <c r="B3" s="474"/>
      <c r="C3" s="474"/>
      <c r="D3" s="474"/>
      <c r="E3" s="475"/>
      <c r="F3" s="112" t="s">
        <v>592</v>
      </c>
      <c r="G3" s="474"/>
    </row>
    <row r="4" spans="1:7" ht="15" customHeight="1" x14ac:dyDescent="0.25">
      <c r="A4" s="639" t="s">
        <v>122</v>
      </c>
      <c r="B4" s="638"/>
      <c r="C4" s="638"/>
      <c r="D4" s="638"/>
      <c r="E4" s="638"/>
      <c r="F4" s="638"/>
      <c r="G4" s="638"/>
    </row>
    <row r="5" spans="1:7" ht="37.9" customHeight="1" x14ac:dyDescent="0.25">
      <c r="A5" s="640" t="s">
        <v>270</v>
      </c>
      <c r="B5" s="638"/>
      <c r="C5" s="638"/>
      <c r="D5" s="638"/>
      <c r="E5" s="638"/>
      <c r="F5" s="638"/>
      <c r="G5" s="638"/>
    </row>
    <row r="6" spans="1:7" ht="147.6" customHeight="1" x14ac:dyDescent="0.25">
      <c r="A6" s="641" t="s">
        <v>271</v>
      </c>
      <c r="B6" s="638"/>
      <c r="C6" s="638"/>
      <c r="D6" s="638"/>
      <c r="E6" s="638"/>
      <c r="F6" s="638"/>
      <c r="G6" s="638"/>
    </row>
    <row r="7" spans="1:7" ht="26.25" customHeight="1" x14ac:dyDescent="0.25">
      <c r="A7" s="642" t="s">
        <v>107</v>
      </c>
      <c r="B7" s="642"/>
      <c r="C7" s="642"/>
      <c r="D7" s="642"/>
      <c r="E7" s="477"/>
      <c r="F7" s="512">
        <f>+F19</f>
        <v>18494000</v>
      </c>
      <c r="G7" s="479"/>
    </row>
    <row r="8" spans="1:7" ht="79.5" customHeight="1" x14ac:dyDescent="0.25">
      <c r="A8" s="480" t="s">
        <v>22</v>
      </c>
      <c r="B8" s="481" t="s">
        <v>106</v>
      </c>
      <c r="C8" s="481" t="s">
        <v>6</v>
      </c>
      <c r="D8" s="481" t="s">
        <v>1</v>
      </c>
      <c r="E8" s="482" t="s">
        <v>6</v>
      </c>
      <c r="F8" s="481" t="s">
        <v>7</v>
      </c>
      <c r="G8" s="481" t="s">
        <v>5</v>
      </c>
    </row>
    <row r="9" spans="1:7" ht="93.75" customHeight="1" x14ac:dyDescent="0.25">
      <c r="A9" s="323">
        <v>813242</v>
      </c>
      <c r="B9" s="324" t="s">
        <v>272</v>
      </c>
      <c r="C9" s="325">
        <v>45</v>
      </c>
      <c r="D9" s="326">
        <v>1125000</v>
      </c>
      <c r="E9" s="327">
        <v>55</v>
      </c>
      <c r="F9" s="328">
        <v>1275000</v>
      </c>
      <c r="G9" s="326">
        <f t="shared" ref="G9:G19" si="0">D9-F9</f>
        <v>-150000</v>
      </c>
    </row>
    <row r="10" spans="1:7" ht="106.15" customHeight="1" x14ac:dyDescent="0.25">
      <c r="A10" s="323">
        <v>813242</v>
      </c>
      <c r="B10" s="483" t="s">
        <v>273</v>
      </c>
      <c r="C10" s="325">
        <v>25</v>
      </c>
      <c r="D10" s="326">
        <v>500000</v>
      </c>
      <c r="E10" s="327">
        <v>9</v>
      </c>
      <c r="F10" s="328">
        <v>180000</v>
      </c>
      <c r="G10" s="326">
        <f t="shared" si="0"/>
        <v>320000</v>
      </c>
    </row>
    <row r="11" spans="1:7" ht="69" customHeight="1" x14ac:dyDescent="0.25">
      <c r="A11" s="323">
        <v>813242</v>
      </c>
      <c r="B11" s="483" t="s">
        <v>274</v>
      </c>
      <c r="C11" s="325">
        <v>30</v>
      </c>
      <c r="D11" s="326">
        <v>1500000</v>
      </c>
      <c r="E11" s="327">
        <v>14</v>
      </c>
      <c r="F11" s="328">
        <v>700000</v>
      </c>
      <c r="G11" s="326">
        <f t="shared" si="0"/>
        <v>800000</v>
      </c>
    </row>
    <row r="12" spans="1:7" ht="70.150000000000006" customHeight="1" x14ac:dyDescent="0.25">
      <c r="A12" s="323">
        <v>813242</v>
      </c>
      <c r="B12" s="483" t="s">
        <v>275</v>
      </c>
      <c r="C12" s="325">
        <v>120</v>
      </c>
      <c r="D12" s="326">
        <v>4250000</v>
      </c>
      <c r="E12" s="327">
        <v>125</v>
      </c>
      <c r="F12" s="328">
        <v>4375000</v>
      </c>
      <c r="G12" s="326">
        <f t="shared" si="0"/>
        <v>-125000</v>
      </c>
    </row>
    <row r="13" spans="1:7" ht="100.15" customHeight="1" x14ac:dyDescent="0.25">
      <c r="A13" s="323">
        <v>813242</v>
      </c>
      <c r="B13" s="483" t="s">
        <v>276</v>
      </c>
      <c r="C13" s="325">
        <v>35</v>
      </c>
      <c r="D13" s="326">
        <v>875000</v>
      </c>
      <c r="E13" s="327">
        <v>22</v>
      </c>
      <c r="F13" s="328">
        <v>550000</v>
      </c>
      <c r="G13" s="326">
        <f t="shared" si="0"/>
        <v>325000</v>
      </c>
    </row>
    <row r="14" spans="1:7" ht="101.45" customHeight="1" x14ac:dyDescent="0.25">
      <c r="A14" s="323">
        <v>813242</v>
      </c>
      <c r="B14" s="483" t="s">
        <v>277</v>
      </c>
      <c r="C14" s="325">
        <v>21</v>
      </c>
      <c r="D14" s="326">
        <v>210000</v>
      </c>
      <c r="E14" s="327">
        <v>17</v>
      </c>
      <c r="F14" s="328">
        <v>170000</v>
      </c>
      <c r="G14" s="330">
        <f t="shared" si="0"/>
        <v>40000</v>
      </c>
    </row>
    <row r="15" spans="1:7" ht="86.45" customHeight="1" x14ac:dyDescent="0.25">
      <c r="A15" s="484">
        <v>813242</v>
      </c>
      <c r="B15" s="485" t="s">
        <v>278</v>
      </c>
      <c r="C15" s="486">
        <v>210</v>
      </c>
      <c r="D15" s="487">
        <v>7350000</v>
      </c>
      <c r="E15" s="488">
        <v>116</v>
      </c>
      <c r="F15" s="489">
        <v>4060000</v>
      </c>
      <c r="G15" s="490">
        <f t="shared" si="0"/>
        <v>3290000</v>
      </c>
    </row>
    <row r="16" spans="1:7" ht="105.6" customHeight="1" x14ac:dyDescent="0.25">
      <c r="A16" s="491">
        <v>813242</v>
      </c>
      <c r="B16" s="492" t="s">
        <v>279</v>
      </c>
      <c r="C16" s="493">
        <v>50</v>
      </c>
      <c r="D16" s="494">
        <v>600000</v>
      </c>
      <c r="E16" s="495">
        <v>32</v>
      </c>
      <c r="F16" s="496">
        <v>384000</v>
      </c>
      <c r="G16" s="478">
        <f t="shared" si="0"/>
        <v>216000</v>
      </c>
    </row>
    <row r="17" spans="1:7" ht="117" customHeight="1" x14ac:dyDescent="0.25">
      <c r="A17" s="491">
        <v>813242</v>
      </c>
      <c r="B17" s="492" t="s">
        <v>280</v>
      </c>
      <c r="C17" s="493">
        <v>34</v>
      </c>
      <c r="D17" s="494">
        <v>170000</v>
      </c>
      <c r="E17" s="495">
        <v>16</v>
      </c>
      <c r="F17" s="496">
        <v>80000</v>
      </c>
      <c r="G17" s="478">
        <f t="shared" si="0"/>
        <v>90000</v>
      </c>
    </row>
    <row r="18" spans="1:7" ht="86.45" customHeight="1" x14ac:dyDescent="0.25">
      <c r="A18" s="497">
        <v>813242</v>
      </c>
      <c r="B18" s="483" t="s">
        <v>281</v>
      </c>
      <c r="C18" s="498">
        <v>76</v>
      </c>
      <c r="D18" s="499">
        <v>9120000</v>
      </c>
      <c r="E18" s="500">
        <v>56</v>
      </c>
      <c r="F18" s="501">
        <v>6720000</v>
      </c>
      <c r="G18" s="502">
        <f t="shared" si="0"/>
        <v>2400000</v>
      </c>
    </row>
    <row r="19" spans="1:7" ht="15" customHeight="1" x14ac:dyDescent="0.25">
      <c r="A19" s="323"/>
      <c r="B19" s="503" t="s">
        <v>3</v>
      </c>
      <c r="C19" s="503"/>
      <c r="D19" s="504">
        <f>SUM(D9:D18)</f>
        <v>25700000</v>
      </c>
      <c r="E19" s="505"/>
      <c r="F19" s="504">
        <f>SUM(F9:F18)</f>
        <v>18494000</v>
      </c>
      <c r="G19" s="326">
        <f t="shared" si="0"/>
        <v>7206000</v>
      </c>
    </row>
    <row r="20" spans="1:7" ht="15.75" customHeight="1" x14ac:dyDescent="0.25">
      <c r="A20" s="506"/>
      <c r="B20" s="643" t="s">
        <v>35</v>
      </c>
      <c r="C20" s="644"/>
      <c r="D20" s="644"/>
      <c r="E20" s="645"/>
      <c r="F20" s="507">
        <f>F19/D19*100</f>
        <v>71.961089494163417</v>
      </c>
      <c r="G20" s="508" t="s">
        <v>34</v>
      </c>
    </row>
    <row r="21" spans="1:7" ht="15.75" customHeight="1" x14ac:dyDescent="0.25">
      <c r="A21" s="637" t="s">
        <v>172</v>
      </c>
      <c r="B21" s="638"/>
      <c r="C21" s="638"/>
      <c r="D21" s="638"/>
      <c r="E21" s="638"/>
      <c r="F21" s="638"/>
      <c r="G21" s="638"/>
    </row>
    <row r="22" spans="1:7" ht="15.75" customHeight="1" x14ac:dyDescent="0.25">
      <c r="B22" s="474"/>
      <c r="C22" s="474"/>
      <c r="D22" s="474"/>
      <c r="E22" s="475"/>
      <c r="F22" s="474"/>
      <c r="G22" s="474"/>
    </row>
    <row r="23" spans="1:7" ht="15.75" customHeight="1" x14ac:dyDescent="0.25">
      <c r="B23" s="474"/>
      <c r="C23" s="474"/>
      <c r="D23" s="474"/>
      <c r="E23" s="475"/>
      <c r="F23" s="474"/>
      <c r="G23" s="474"/>
    </row>
    <row r="24" spans="1:7" ht="15.75" customHeight="1" x14ac:dyDescent="0.25">
      <c r="A24" s="476" t="s">
        <v>173</v>
      </c>
      <c r="B24" s="474"/>
      <c r="C24" s="509"/>
      <c r="D24" s="474"/>
      <c r="E24" s="510"/>
      <c r="F24" s="474" t="s">
        <v>176</v>
      </c>
      <c r="G24" s="474"/>
    </row>
    <row r="25" spans="1:7" ht="15.75" customHeight="1" x14ac:dyDescent="0.25">
      <c r="E25" s="511"/>
    </row>
    <row r="26" spans="1:7" ht="15.75" customHeight="1" x14ac:dyDescent="0.25">
      <c r="E26" s="511"/>
    </row>
    <row r="27" spans="1:7" ht="15.75" customHeight="1" x14ac:dyDescent="0.25">
      <c r="E27" s="511"/>
    </row>
    <row r="28" spans="1:7" ht="15.75" customHeight="1" x14ac:dyDescent="0.25"/>
    <row r="29" spans="1:7" ht="15.75" customHeight="1" x14ac:dyDescent="0.25"/>
  </sheetData>
  <mergeCells count="6">
    <mergeCell ref="A21:G21"/>
    <mergeCell ref="A4:G4"/>
    <mergeCell ref="A5:G5"/>
    <mergeCell ref="A6:G6"/>
    <mergeCell ref="A7:D7"/>
    <mergeCell ref="B20:E20"/>
  </mergeCells>
  <pageMargins left="0.70866141732283472" right="0.70866141732283472" top="0.74803149606299213" bottom="0.74803149606299213" header="0.31496062992125984" footer="0.31496062992125984"/>
  <pageSetup paperSize="9" scale="83" fitToHeight="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7"/>
  <sheetViews>
    <sheetView workbookViewId="0">
      <selection activeCell="D3" sqref="D3"/>
    </sheetView>
  </sheetViews>
  <sheetFormatPr defaultRowHeight="15.75" x14ac:dyDescent="0.25"/>
  <cols>
    <col min="1" max="1" width="8" customWidth="1"/>
    <col min="2" max="2" width="39.85546875" style="15" customWidth="1"/>
    <col min="3" max="3" width="13.7109375" style="15" customWidth="1"/>
    <col min="4" max="4" width="13.42578125" style="15" customWidth="1"/>
    <col min="5" max="5" width="13.85546875" style="15" customWidth="1"/>
    <col min="6" max="6" width="15.28515625" style="15" customWidth="1"/>
  </cols>
  <sheetData>
    <row r="1" spans="1:14" ht="15" customHeight="1" x14ac:dyDescent="0.25">
      <c r="D1" s="1" t="s">
        <v>593</v>
      </c>
      <c r="E1"/>
    </row>
    <row r="2" spans="1:14" x14ac:dyDescent="0.25">
      <c r="D2" t="s">
        <v>171</v>
      </c>
      <c r="E2" s="1"/>
    </row>
    <row r="3" spans="1:14" x14ac:dyDescent="0.25">
      <c r="B3"/>
      <c r="C3"/>
      <c r="D3" t="s">
        <v>594</v>
      </c>
      <c r="E3" s="1"/>
      <c r="F3"/>
    </row>
    <row r="4" spans="1:14" x14ac:dyDescent="0.25">
      <c r="A4" s="633" t="s">
        <v>122</v>
      </c>
      <c r="B4" s="633"/>
      <c r="C4" s="633"/>
      <c r="D4" s="633"/>
      <c r="E4" s="633"/>
      <c r="F4"/>
    </row>
    <row r="5" spans="1:14" ht="33.950000000000003" customHeight="1" x14ac:dyDescent="0.25">
      <c r="A5" s="632" t="s">
        <v>282</v>
      </c>
      <c r="B5" s="632"/>
      <c r="C5" s="632"/>
      <c r="D5" s="632"/>
      <c r="E5" s="632"/>
      <c r="F5"/>
    </row>
    <row r="6" spans="1:14" ht="249.75" customHeight="1" x14ac:dyDescent="0.25">
      <c r="A6" s="647" t="s">
        <v>180</v>
      </c>
      <c r="B6" s="647"/>
      <c r="C6" s="647"/>
      <c r="D6" s="647"/>
      <c r="E6" s="647"/>
      <c r="F6"/>
    </row>
    <row r="7" spans="1:14" x14ac:dyDescent="0.25">
      <c r="A7" s="646" t="s">
        <v>283</v>
      </c>
      <c r="B7" s="646"/>
      <c r="C7" s="646"/>
      <c r="D7" s="646"/>
      <c r="E7" s="646"/>
      <c r="F7" s="646"/>
      <c r="G7" s="646"/>
      <c r="H7" s="283"/>
      <c r="I7" s="283"/>
      <c r="J7" s="283"/>
      <c r="K7" s="283"/>
      <c r="L7" s="283"/>
      <c r="M7" s="283"/>
      <c r="N7" s="283"/>
    </row>
    <row r="8" spans="1:14" x14ac:dyDescent="0.25">
      <c r="A8" s="284"/>
      <c r="B8" s="283" t="s">
        <v>28</v>
      </c>
      <c r="C8" s="289">
        <f>D22</f>
        <v>711183.41999999993</v>
      </c>
      <c r="D8" s="284" t="s">
        <v>32</v>
      </c>
      <c r="E8" s="284"/>
      <c r="F8"/>
      <c r="H8" s="283"/>
      <c r="I8" s="283"/>
      <c r="J8" s="283"/>
      <c r="K8" s="283"/>
      <c r="L8" s="283"/>
      <c r="M8" s="283"/>
      <c r="N8" s="283"/>
    </row>
    <row r="9" spans="1:14" ht="31.5" x14ac:dyDescent="0.25">
      <c r="A9" s="39" t="s">
        <v>22</v>
      </c>
      <c r="B9" s="2" t="s">
        <v>0</v>
      </c>
      <c r="C9" s="2" t="s">
        <v>170</v>
      </c>
      <c r="D9" s="2" t="s">
        <v>7</v>
      </c>
      <c r="E9" s="2" t="s">
        <v>4</v>
      </c>
      <c r="F9"/>
      <c r="J9" s="282"/>
      <c r="K9" s="282"/>
      <c r="L9" s="52"/>
      <c r="M9" s="115"/>
      <c r="N9" s="52"/>
    </row>
    <row r="10" spans="1:14" ht="61.5" customHeight="1" x14ac:dyDescent="0.25">
      <c r="A10" s="142">
        <v>913112</v>
      </c>
      <c r="B10" s="3" t="s">
        <v>161</v>
      </c>
      <c r="C10" s="8">
        <v>5000</v>
      </c>
      <c r="D10" s="6">
        <v>5000</v>
      </c>
      <c r="E10" s="268">
        <v>0</v>
      </c>
      <c r="F10"/>
    </row>
    <row r="11" spans="1:14" ht="45.75" customHeight="1" x14ac:dyDescent="0.25">
      <c r="A11" s="142"/>
      <c r="B11" s="3" t="s">
        <v>162</v>
      </c>
      <c r="C11" s="8">
        <v>30000</v>
      </c>
      <c r="D11" s="6">
        <v>30000</v>
      </c>
      <c r="E11" s="268">
        <v>0</v>
      </c>
      <c r="F11"/>
    </row>
    <row r="12" spans="1:14" ht="61.5" customHeight="1" x14ac:dyDescent="0.25">
      <c r="A12" s="272"/>
      <c r="B12" s="273" t="s">
        <v>284</v>
      </c>
      <c r="C12" s="8">
        <v>5000</v>
      </c>
      <c r="D12" s="6">
        <v>5000</v>
      </c>
      <c r="E12" s="268">
        <v>0</v>
      </c>
      <c r="F12"/>
    </row>
    <row r="13" spans="1:14" ht="38.25" customHeight="1" x14ac:dyDescent="0.25">
      <c r="A13" s="272"/>
      <c r="B13" s="273" t="s">
        <v>163</v>
      </c>
      <c r="C13" s="274">
        <v>15000</v>
      </c>
      <c r="D13" s="275">
        <v>14997.6</v>
      </c>
      <c r="E13" s="270">
        <f>+C13-D13</f>
        <v>2.3999999999996362</v>
      </c>
      <c r="F13"/>
    </row>
    <row r="14" spans="1:14" ht="33.75" customHeight="1" x14ac:dyDescent="0.25">
      <c r="A14" s="272"/>
      <c r="B14" s="273" t="s">
        <v>164</v>
      </c>
      <c r="C14" s="274">
        <v>40000</v>
      </c>
      <c r="D14" s="275">
        <v>40000</v>
      </c>
      <c r="E14" s="270">
        <v>0</v>
      </c>
      <c r="F14"/>
    </row>
    <row r="15" spans="1:14" ht="40.5" customHeight="1" x14ac:dyDescent="0.25">
      <c r="A15" s="272"/>
      <c r="B15" s="273" t="s">
        <v>165</v>
      </c>
      <c r="C15" s="274">
        <v>525000</v>
      </c>
      <c r="D15" s="275">
        <v>524592</v>
      </c>
      <c r="E15" s="270">
        <f>+C15-D15</f>
        <v>408</v>
      </c>
      <c r="F15"/>
    </row>
    <row r="16" spans="1:14" ht="82.5" customHeight="1" x14ac:dyDescent="0.25">
      <c r="A16" s="272"/>
      <c r="B16" s="273" t="s">
        <v>206</v>
      </c>
      <c r="C16" s="274">
        <v>15000</v>
      </c>
      <c r="D16" s="275">
        <v>2600</v>
      </c>
      <c r="E16" s="270">
        <f t="shared" ref="E16:E21" si="0">+C16-D16</f>
        <v>12400</v>
      </c>
      <c r="F16"/>
    </row>
    <row r="17" spans="1:6" ht="47.25" x14ac:dyDescent="0.25">
      <c r="A17" s="272"/>
      <c r="B17" s="273" t="s">
        <v>207</v>
      </c>
      <c r="C17" s="274">
        <v>30000</v>
      </c>
      <c r="D17" s="275">
        <v>29999.74</v>
      </c>
      <c r="E17" s="270">
        <f t="shared" si="0"/>
        <v>0.25999999999839929</v>
      </c>
      <c r="F17"/>
    </row>
    <row r="18" spans="1:6" ht="18" customHeight="1" x14ac:dyDescent="0.25">
      <c r="A18" s="272"/>
      <c r="B18" s="273" t="s">
        <v>208</v>
      </c>
      <c r="C18" s="274">
        <v>30000</v>
      </c>
      <c r="D18" s="275">
        <v>29998.080000000002</v>
      </c>
      <c r="E18" s="270">
        <f t="shared" si="0"/>
        <v>1.9199999999982538</v>
      </c>
      <c r="F18"/>
    </row>
    <row r="19" spans="1:6" ht="63.75" customHeight="1" x14ac:dyDescent="0.25">
      <c r="A19" s="272"/>
      <c r="B19" s="273" t="s">
        <v>161</v>
      </c>
      <c r="C19" s="274">
        <v>24000</v>
      </c>
      <c r="D19" s="275">
        <v>23996</v>
      </c>
      <c r="E19" s="270">
        <f t="shared" si="0"/>
        <v>4</v>
      </c>
      <c r="F19"/>
    </row>
    <row r="20" spans="1:6" ht="68.25" customHeight="1" x14ac:dyDescent="0.25">
      <c r="A20" s="272"/>
      <c r="B20" s="273" t="s">
        <v>161</v>
      </c>
      <c r="C20" s="274">
        <v>5000</v>
      </c>
      <c r="D20" s="275">
        <v>5000</v>
      </c>
      <c r="E20" s="270">
        <f t="shared" si="0"/>
        <v>0</v>
      </c>
      <c r="F20"/>
    </row>
    <row r="21" spans="1:6" x14ac:dyDescent="0.25">
      <c r="A21" s="272"/>
      <c r="B21" s="273"/>
      <c r="C21" s="274"/>
      <c r="D21" s="275"/>
      <c r="E21" s="270">
        <f t="shared" si="0"/>
        <v>0</v>
      </c>
      <c r="F21"/>
    </row>
    <row r="22" spans="1:6" x14ac:dyDescent="0.25">
      <c r="A22" s="57"/>
      <c r="B22" s="213" t="s">
        <v>3</v>
      </c>
      <c r="C22" s="269">
        <f>SUM(C10:C21)</f>
        <v>724000</v>
      </c>
      <c r="D22" s="269">
        <f>SUM(D10:D21)</f>
        <v>711183.41999999993</v>
      </c>
      <c r="E22" s="288">
        <f t="shared" ref="E22" si="1">C22-D22</f>
        <v>12816.580000000075</v>
      </c>
    </row>
    <row r="23" spans="1:6" x14ac:dyDescent="0.25">
      <c r="A23" s="59"/>
      <c r="B23" s="634" t="s">
        <v>35</v>
      </c>
      <c r="C23" s="634"/>
      <c r="D23" s="271">
        <f>D22/C22*100</f>
        <v>98.229754143646403</v>
      </c>
      <c r="E23" s="64" t="s">
        <v>34</v>
      </c>
    </row>
    <row r="25" spans="1:6" ht="50.1" customHeight="1" x14ac:dyDescent="0.25">
      <c r="A25" s="635" t="s">
        <v>140</v>
      </c>
      <c r="B25" s="635"/>
      <c r="C25" s="635"/>
      <c r="D25" s="635"/>
      <c r="E25" s="635"/>
    </row>
    <row r="27" spans="1:6" x14ac:dyDescent="0.25">
      <c r="A27" t="s">
        <v>173</v>
      </c>
      <c r="C27" s="296"/>
      <c r="D27" s="131" t="s">
        <v>174</v>
      </c>
      <c r="E27" s="15" t="s">
        <v>175</v>
      </c>
    </row>
  </sheetData>
  <mergeCells count="6">
    <mergeCell ref="A25:E25"/>
    <mergeCell ref="A7:G7"/>
    <mergeCell ref="A4:E4"/>
    <mergeCell ref="A5:E5"/>
    <mergeCell ref="A6:E6"/>
    <mergeCell ref="B23:C23"/>
  </mergeCells>
  <pageMargins left="0.70866141732283472" right="0.70866141732283472" top="0.74803149606299213" bottom="0.74803149606299213" header="0.31496062992125984" footer="0.31496062992125984"/>
  <pageSetup paperSize="9" scale="90"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5"/>
  <sheetViews>
    <sheetView workbookViewId="0">
      <selection activeCell="D3" sqref="D3"/>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631" t="s">
        <v>595</v>
      </c>
      <c r="E1" s="631"/>
    </row>
    <row r="2" spans="1:5" ht="15.75" x14ac:dyDescent="0.25">
      <c r="D2" t="s">
        <v>171</v>
      </c>
      <c r="E2" s="1"/>
    </row>
    <row r="3" spans="1:5" ht="15.75" x14ac:dyDescent="0.25">
      <c r="B3" s="17"/>
      <c r="C3" s="17"/>
      <c r="D3" t="s">
        <v>586</v>
      </c>
      <c r="E3" s="1"/>
    </row>
    <row r="4" spans="1:5" ht="15.75" customHeight="1" x14ac:dyDescent="0.25">
      <c r="A4" s="650" t="s">
        <v>122</v>
      </c>
      <c r="B4" s="650"/>
      <c r="C4" s="650"/>
      <c r="D4" s="650"/>
      <c r="E4" s="650"/>
    </row>
    <row r="5" spans="1:5" ht="56.25" customHeight="1" x14ac:dyDescent="0.25">
      <c r="A5" s="648" t="s">
        <v>264</v>
      </c>
      <c r="B5" s="648"/>
      <c r="C5" s="648"/>
      <c r="D5" s="648"/>
      <c r="E5" s="648"/>
    </row>
    <row r="6" spans="1:5" ht="399" customHeight="1" x14ac:dyDescent="0.25">
      <c r="A6" s="649" t="s">
        <v>286</v>
      </c>
      <c r="B6" s="649"/>
      <c r="C6" s="649"/>
      <c r="D6" s="649"/>
      <c r="E6" s="649"/>
    </row>
    <row r="7" spans="1:5" ht="15.75" x14ac:dyDescent="0.25">
      <c r="A7" s="41" t="s">
        <v>22</v>
      </c>
      <c r="B7" s="40" t="s">
        <v>12</v>
      </c>
      <c r="C7" s="10" t="s">
        <v>1</v>
      </c>
      <c r="D7" s="10" t="s">
        <v>11</v>
      </c>
      <c r="E7" s="10" t="s">
        <v>5</v>
      </c>
    </row>
    <row r="8" spans="1:5" ht="63" x14ac:dyDescent="0.25">
      <c r="A8" s="156">
        <v>112152</v>
      </c>
      <c r="B8" s="155" t="s">
        <v>103</v>
      </c>
      <c r="C8" s="334">
        <v>733650</v>
      </c>
      <c r="D8" s="335">
        <v>709152.24</v>
      </c>
      <c r="E8" s="16">
        <f>C8-D8</f>
        <v>24497.760000000009</v>
      </c>
    </row>
    <row r="9" spans="1:5" ht="16.5" x14ac:dyDescent="0.25">
      <c r="A9" s="59"/>
      <c r="B9" s="130" t="s">
        <v>91</v>
      </c>
      <c r="C9" s="129">
        <f>C8</f>
        <v>733650</v>
      </c>
      <c r="D9" s="7">
        <f>D8</f>
        <v>709152.24</v>
      </c>
      <c r="E9" s="7">
        <f>C9-D9</f>
        <v>24497.760000000009</v>
      </c>
    </row>
    <row r="10" spans="1:5" ht="15.75" x14ac:dyDescent="0.25">
      <c r="A10" s="68"/>
      <c r="B10" s="132" t="s">
        <v>33</v>
      </c>
      <c r="C10" s="55"/>
      <c r="D10" s="69">
        <f>D9/C9*100</f>
        <v>96.660838274381504</v>
      </c>
      <c r="E10" s="67" t="s">
        <v>34</v>
      </c>
    </row>
    <row r="12" spans="1:5" ht="80.25" customHeight="1" x14ac:dyDescent="0.25">
      <c r="A12" s="635" t="s">
        <v>285</v>
      </c>
      <c r="B12" s="635"/>
      <c r="C12" s="635"/>
      <c r="D12" s="635"/>
      <c r="E12" s="635"/>
    </row>
    <row r="15" spans="1:5" x14ac:dyDescent="0.25">
      <c r="A15" t="s">
        <v>173</v>
      </c>
      <c r="C15" s="303"/>
      <c r="D15" s="149" t="s">
        <v>174</v>
      </c>
      <c r="E15" t="s">
        <v>175</v>
      </c>
    </row>
  </sheetData>
  <mergeCells count="5">
    <mergeCell ref="A5:E5"/>
    <mergeCell ref="A12:E12"/>
    <mergeCell ref="A6:E6"/>
    <mergeCell ref="A4:E4"/>
    <mergeCell ref="D1:E1"/>
  </mergeCells>
  <hyperlinks>
    <hyperlink ref="A5" r:id="rId1" display="https://decentralization.gov.ua/gromada/1726"/>
    <hyperlink ref="A6" r:id="rId2" display="https://decentralization.gov.ua/gromada/1726"/>
  </hyperlinks>
  <pageMargins left="0.70866141732283472" right="0.70866141732283472" top="0.74803149606299213" bottom="0.74803149606299213" header="0.31496062992125984" footer="0.31496062992125984"/>
  <pageSetup paperSize="9" scale="98"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71"/>
  <sheetViews>
    <sheetView topLeftCell="B1" workbookViewId="0">
      <selection activeCell="S1" sqref="S1"/>
    </sheetView>
  </sheetViews>
  <sheetFormatPr defaultRowHeight="15.75" x14ac:dyDescent="0.25"/>
  <cols>
    <col min="1" max="1" width="7.140625" customWidth="1"/>
    <col min="2" max="2" width="33.42578125" style="15" customWidth="1"/>
    <col min="3" max="3" width="15" style="15" customWidth="1"/>
    <col min="4" max="4" width="14.7109375" style="24" customWidth="1"/>
    <col min="5" max="5" width="14.140625" style="15" customWidth="1"/>
    <col min="6" max="6" width="10" bestFit="1" customWidth="1"/>
    <col min="9" max="9" width="10.5703125" customWidth="1"/>
    <col min="10" max="10" width="11.140625" bestFit="1" customWidth="1"/>
  </cols>
  <sheetData>
    <row r="1" spans="1:6" x14ac:dyDescent="0.25">
      <c r="D1" s="1" t="s">
        <v>596</v>
      </c>
      <c r="E1"/>
    </row>
    <row r="2" spans="1:6" x14ac:dyDescent="0.25">
      <c r="D2" t="s">
        <v>171</v>
      </c>
      <c r="E2" s="1"/>
    </row>
    <row r="3" spans="1:6" x14ac:dyDescent="0.25">
      <c r="B3" s="1"/>
      <c r="C3" s="1"/>
      <c r="D3" t="s">
        <v>597</v>
      </c>
      <c r="E3" s="1"/>
    </row>
    <row r="4" spans="1:6" x14ac:dyDescent="0.25">
      <c r="A4" s="626" t="s">
        <v>123</v>
      </c>
      <c r="B4" s="626"/>
      <c r="C4" s="626"/>
      <c r="D4" s="626"/>
      <c r="E4" s="626"/>
    </row>
    <row r="5" spans="1:6" ht="33" customHeight="1" x14ac:dyDescent="0.25">
      <c r="A5" s="626" t="s">
        <v>263</v>
      </c>
      <c r="B5" s="626"/>
      <c r="C5" s="626"/>
      <c r="D5" s="626"/>
      <c r="E5" s="626"/>
    </row>
    <row r="6" spans="1:6" ht="323.25" customHeight="1" x14ac:dyDescent="0.25">
      <c r="A6" s="652" t="s">
        <v>125</v>
      </c>
      <c r="B6" s="652"/>
      <c r="C6" s="652"/>
      <c r="D6" s="652"/>
      <c r="E6" s="652"/>
    </row>
    <row r="7" spans="1:6" x14ac:dyDescent="0.25">
      <c r="A7" s="646" t="s">
        <v>283</v>
      </c>
      <c r="B7" s="646"/>
      <c r="C7" s="646"/>
      <c r="D7" s="646"/>
      <c r="E7" s="646"/>
    </row>
    <row r="8" spans="1:6" x14ac:dyDescent="0.25">
      <c r="B8" s="309" t="s">
        <v>28</v>
      </c>
      <c r="C8" s="53">
        <f>D53</f>
        <v>1133350.58</v>
      </c>
      <c r="D8" s="309"/>
      <c r="E8" s="309"/>
    </row>
    <row r="9" spans="1:6" ht="18.75" customHeight="1" x14ac:dyDescent="0.25">
      <c r="B9" s="311" t="s">
        <v>29</v>
      </c>
      <c r="C9" s="52">
        <f>D57</f>
        <v>0</v>
      </c>
      <c r="D9" s="308"/>
      <c r="E9" s="308"/>
    </row>
    <row r="10" spans="1:6" ht="30.75" customHeight="1" x14ac:dyDescent="0.25">
      <c r="A10" s="50" t="s">
        <v>22</v>
      </c>
      <c r="B10" s="10" t="s">
        <v>30</v>
      </c>
      <c r="C10" s="2" t="s">
        <v>1</v>
      </c>
      <c r="D10" s="23" t="s">
        <v>11</v>
      </c>
      <c r="E10" s="2" t="s">
        <v>5</v>
      </c>
    </row>
    <row r="11" spans="1:6" x14ac:dyDescent="0.25">
      <c r="B11" s="653" t="s">
        <v>16</v>
      </c>
      <c r="C11" s="654"/>
      <c r="D11" s="654"/>
      <c r="E11" s="655"/>
    </row>
    <row r="12" spans="1:6" ht="15.6" hidden="1" x14ac:dyDescent="0.35">
      <c r="A12" s="81">
        <v>113241</v>
      </c>
      <c r="B12" s="3" t="s">
        <v>54</v>
      </c>
      <c r="C12" s="6">
        <v>5160187</v>
      </c>
      <c r="D12" s="6">
        <v>4547542.9800000004</v>
      </c>
      <c r="E12" s="6">
        <f>C12-D12</f>
        <v>612644.01999999955</v>
      </c>
    </row>
    <row r="13" spans="1:6" ht="18.75" hidden="1" customHeight="1" x14ac:dyDescent="0.35">
      <c r="A13" s="39"/>
      <c r="B13" s="3" t="s">
        <v>64</v>
      </c>
      <c r="C13" s="6">
        <v>1124304</v>
      </c>
      <c r="D13" s="6">
        <v>951206.77</v>
      </c>
      <c r="E13" s="6">
        <f t="shared" ref="E13:E51" si="0">C13-D13</f>
        <v>173097.22999999998</v>
      </c>
    </row>
    <row r="14" spans="1:6" ht="15.6" hidden="1" x14ac:dyDescent="0.35">
      <c r="A14" s="39"/>
      <c r="B14" s="5" t="s">
        <v>95</v>
      </c>
      <c r="C14" s="96">
        <f>C12+C13</f>
        <v>6284491</v>
      </c>
      <c r="D14" s="96">
        <f>D12+D13</f>
        <v>5498749.75</v>
      </c>
      <c r="E14" s="96">
        <f>E12+E13</f>
        <v>785741.24999999953</v>
      </c>
    </row>
    <row r="15" spans="1:6" ht="30.95" hidden="1" x14ac:dyDescent="0.35">
      <c r="A15" s="39"/>
      <c r="B15" s="3" t="s">
        <v>73</v>
      </c>
      <c r="C15" s="6">
        <v>37610</v>
      </c>
      <c r="D15" s="6">
        <v>36937.25</v>
      </c>
      <c r="E15" s="6">
        <f t="shared" si="0"/>
        <v>672.75</v>
      </c>
      <c r="F15" s="102"/>
    </row>
    <row r="16" spans="1:6" ht="15.6" hidden="1" x14ac:dyDescent="0.35">
      <c r="A16" s="39"/>
      <c r="B16" s="3" t="s">
        <v>74</v>
      </c>
      <c r="C16" s="29">
        <v>146030</v>
      </c>
      <c r="D16" s="30">
        <v>106762.05</v>
      </c>
      <c r="E16" s="6">
        <f t="shared" si="0"/>
        <v>39267.949999999997</v>
      </c>
    </row>
    <row r="17" spans="1:6" ht="15.6" hidden="1" x14ac:dyDescent="0.35">
      <c r="A17" s="39"/>
      <c r="B17" s="3" t="s">
        <v>40</v>
      </c>
      <c r="C17" s="6">
        <v>297000</v>
      </c>
      <c r="D17" s="6">
        <v>176156.6</v>
      </c>
      <c r="E17" s="6">
        <f t="shared" si="0"/>
        <v>120843.4</v>
      </c>
    </row>
    <row r="18" spans="1:6" ht="15.6" hidden="1" x14ac:dyDescent="0.35">
      <c r="A18" s="39"/>
      <c r="B18" s="21" t="s">
        <v>75</v>
      </c>
      <c r="C18" s="6">
        <v>50000</v>
      </c>
      <c r="D18" s="6">
        <v>7207.2</v>
      </c>
      <c r="E18" s="6">
        <f t="shared" si="0"/>
        <v>42792.800000000003</v>
      </c>
    </row>
    <row r="19" spans="1:6" ht="15.6" hidden="1" x14ac:dyDescent="0.35">
      <c r="A19" s="39"/>
      <c r="B19" s="120" t="s">
        <v>96</v>
      </c>
      <c r="C19" s="96">
        <f>C15+C16+C17+C18</f>
        <v>530640</v>
      </c>
      <c r="D19" s="96">
        <f>D15+D16+D17+D18</f>
        <v>327063.10000000003</v>
      </c>
      <c r="E19" s="96">
        <f>E15+E16+E17+E18</f>
        <v>203576.89999999997</v>
      </c>
    </row>
    <row r="20" spans="1:6" x14ac:dyDescent="0.25">
      <c r="A20" s="39">
        <v>113241</v>
      </c>
      <c r="B20" s="120" t="s">
        <v>90</v>
      </c>
      <c r="C20" s="356">
        <v>986930</v>
      </c>
      <c r="D20" s="356">
        <v>616881.34</v>
      </c>
      <c r="E20" s="342">
        <f>+C20-D20</f>
        <v>370048.66000000003</v>
      </c>
    </row>
    <row r="21" spans="1:6" ht="15.75" customHeight="1" x14ac:dyDescent="0.25">
      <c r="A21" s="659" t="s">
        <v>288</v>
      </c>
      <c r="B21" s="660"/>
      <c r="C21" s="660"/>
      <c r="D21" s="660"/>
      <c r="E21" s="661"/>
    </row>
    <row r="22" spans="1:6" ht="15.75" customHeight="1" x14ac:dyDescent="0.25">
      <c r="A22" s="662"/>
      <c r="B22" s="663"/>
      <c r="C22" s="663"/>
      <c r="D22" s="663"/>
      <c r="E22" s="664"/>
    </row>
    <row r="23" spans="1:6" ht="15.75" customHeight="1" x14ac:dyDescent="0.25">
      <c r="A23" s="662"/>
      <c r="B23" s="663"/>
      <c r="C23" s="663"/>
      <c r="D23" s="663"/>
      <c r="E23" s="664"/>
      <c r="F23" s="102"/>
    </row>
    <row r="24" spans="1:6" ht="19.5" customHeight="1" x14ac:dyDescent="0.25">
      <c r="A24" s="662"/>
      <c r="B24" s="663"/>
      <c r="C24" s="663"/>
      <c r="D24" s="663"/>
      <c r="E24" s="664"/>
    </row>
    <row r="25" spans="1:6" ht="15.75" hidden="1" customHeight="1" x14ac:dyDescent="0.25">
      <c r="A25" s="662"/>
      <c r="B25" s="663"/>
      <c r="C25" s="663"/>
      <c r="D25" s="663"/>
      <c r="E25" s="664"/>
    </row>
    <row r="26" spans="1:6" ht="31.5" hidden="1" customHeight="1" x14ac:dyDescent="0.25">
      <c r="A26" s="662"/>
      <c r="B26" s="663"/>
      <c r="C26" s="663"/>
      <c r="D26" s="663"/>
      <c r="E26" s="664"/>
    </row>
    <row r="27" spans="1:6" ht="15.75" hidden="1" customHeight="1" x14ac:dyDescent="0.25">
      <c r="A27" s="662"/>
      <c r="B27" s="663"/>
      <c r="C27" s="663"/>
      <c r="D27" s="663"/>
      <c r="E27" s="664"/>
    </row>
    <row r="28" spans="1:6" ht="15.75" hidden="1" customHeight="1" x14ac:dyDescent="0.25">
      <c r="A28" s="662"/>
      <c r="B28" s="663"/>
      <c r="C28" s="663"/>
      <c r="D28" s="663"/>
      <c r="E28" s="664"/>
    </row>
    <row r="29" spans="1:6" ht="15.75" hidden="1" customHeight="1" x14ac:dyDescent="0.25">
      <c r="A29" s="662"/>
      <c r="B29" s="663"/>
      <c r="C29" s="663"/>
      <c r="D29" s="663"/>
      <c r="E29" s="664"/>
    </row>
    <row r="30" spans="1:6" ht="15.75" hidden="1" customHeight="1" x14ac:dyDescent="0.25">
      <c r="A30" s="662"/>
      <c r="B30" s="663"/>
      <c r="C30" s="663"/>
      <c r="D30" s="663"/>
      <c r="E30" s="664"/>
    </row>
    <row r="31" spans="1:6" ht="15.75" hidden="1" customHeight="1" x14ac:dyDescent="0.25">
      <c r="A31" s="662"/>
      <c r="B31" s="663"/>
      <c r="C31" s="663"/>
      <c r="D31" s="663"/>
      <c r="E31" s="664"/>
    </row>
    <row r="32" spans="1:6" ht="17.25" hidden="1" customHeight="1" x14ac:dyDescent="0.25">
      <c r="A32" s="662"/>
      <c r="B32" s="663"/>
      <c r="C32" s="663"/>
      <c r="D32" s="663"/>
      <c r="E32" s="664"/>
    </row>
    <row r="33" spans="1:10" ht="113.25" customHeight="1" x14ac:dyDescent="0.25">
      <c r="A33" s="665"/>
      <c r="B33" s="666"/>
      <c r="C33" s="666"/>
      <c r="D33" s="666"/>
      <c r="E33" s="667"/>
      <c r="J33" s="459"/>
    </row>
    <row r="34" spans="1:10" x14ac:dyDescent="0.25">
      <c r="A34" s="39"/>
      <c r="B34" s="140" t="s">
        <v>209</v>
      </c>
      <c r="C34" s="356">
        <v>377000</v>
      </c>
      <c r="D34" s="356">
        <v>342125.12</v>
      </c>
      <c r="E34" s="357">
        <f>+C34-D34</f>
        <v>34874.880000000005</v>
      </c>
    </row>
    <row r="35" spans="1:10" ht="16.5" customHeight="1" x14ac:dyDescent="0.25">
      <c r="A35" s="668" t="s">
        <v>316</v>
      </c>
      <c r="B35" s="669"/>
      <c r="C35" s="669"/>
      <c r="D35" s="669"/>
      <c r="E35" s="670"/>
    </row>
    <row r="36" spans="1:10" ht="9" hidden="1" customHeight="1" x14ac:dyDescent="0.25">
      <c r="A36" s="671"/>
      <c r="B36" s="672"/>
      <c r="C36" s="672"/>
      <c r="D36" s="672"/>
      <c r="E36" s="673"/>
    </row>
    <row r="37" spans="1:10" ht="6" customHeight="1" x14ac:dyDescent="0.25">
      <c r="A37" s="671"/>
      <c r="B37" s="672"/>
      <c r="C37" s="672"/>
      <c r="D37" s="672"/>
      <c r="E37" s="673"/>
      <c r="I37" s="355"/>
    </row>
    <row r="38" spans="1:10" ht="17.25" hidden="1" customHeight="1" x14ac:dyDescent="0.25">
      <c r="A38" s="671"/>
      <c r="B38" s="672"/>
      <c r="C38" s="672"/>
      <c r="D38" s="672"/>
      <c r="E38" s="673"/>
    </row>
    <row r="39" spans="1:10" ht="17.25" hidden="1" customHeight="1" x14ac:dyDescent="0.25">
      <c r="A39" s="671"/>
      <c r="B39" s="672"/>
      <c r="C39" s="672"/>
      <c r="D39" s="672"/>
      <c r="E39" s="673"/>
    </row>
    <row r="40" spans="1:10" ht="17.25" hidden="1" customHeight="1" x14ac:dyDescent="0.25">
      <c r="A40" s="671"/>
      <c r="B40" s="672"/>
      <c r="C40" s="672"/>
      <c r="D40" s="672"/>
      <c r="E40" s="673"/>
    </row>
    <row r="41" spans="1:10" ht="17.25" hidden="1" customHeight="1" x14ac:dyDescent="0.25">
      <c r="A41" s="671"/>
      <c r="B41" s="672"/>
      <c r="C41" s="672"/>
      <c r="D41" s="672"/>
      <c r="E41" s="673"/>
    </row>
    <row r="42" spans="1:10" ht="16.5" customHeight="1" x14ac:dyDescent="0.25">
      <c r="A42" s="671"/>
      <c r="B42" s="672"/>
      <c r="C42" s="672"/>
      <c r="D42" s="672"/>
      <c r="E42" s="673"/>
    </row>
    <row r="43" spans="1:10" ht="1.5" customHeight="1" x14ac:dyDescent="0.25">
      <c r="A43" s="674"/>
      <c r="B43" s="675"/>
      <c r="C43" s="675"/>
      <c r="D43" s="675"/>
      <c r="E43" s="676"/>
    </row>
    <row r="44" spans="1:10" ht="32.25" customHeight="1" x14ac:dyDescent="0.25">
      <c r="A44" s="513"/>
      <c r="B44" s="514" t="s">
        <v>292</v>
      </c>
      <c r="C44" s="515">
        <v>7000</v>
      </c>
      <c r="D44" s="516">
        <v>0</v>
      </c>
      <c r="E44" s="515">
        <f>+C44-D44</f>
        <v>7000</v>
      </c>
    </row>
    <row r="45" spans="1:10" ht="31.5" x14ac:dyDescent="0.25">
      <c r="A45" s="39"/>
      <c r="B45" s="140" t="s">
        <v>210</v>
      </c>
      <c r="C45" s="356">
        <v>199300</v>
      </c>
      <c r="D45" s="356">
        <v>123926.33</v>
      </c>
      <c r="E45" s="342">
        <f t="shared" si="0"/>
        <v>75373.67</v>
      </c>
    </row>
    <row r="46" spans="1:10" ht="15.75" customHeight="1" x14ac:dyDescent="0.25">
      <c r="A46" s="677" t="s">
        <v>289</v>
      </c>
      <c r="B46" s="678"/>
      <c r="C46" s="678"/>
      <c r="D46" s="678"/>
      <c r="E46" s="679"/>
    </row>
    <row r="47" spans="1:10" ht="47.25" customHeight="1" x14ac:dyDescent="0.25">
      <c r="A47" s="680"/>
      <c r="B47" s="681"/>
      <c r="C47" s="681"/>
      <c r="D47" s="681"/>
      <c r="E47" s="682"/>
    </row>
    <row r="48" spans="1:10" ht="69.75" customHeight="1" x14ac:dyDescent="0.25">
      <c r="A48" s="683"/>
      <c r="B48" s="684"/>
      <c r="C48" s="684"/>
      <c r="D48" s="684"/>
      <c r="E48" s="685"/>
    </row>
    <row r="49" spans="1:9" ht="47.25" x14ac:dyDescent="0.25">
      <c r="A49" s="58"/>
      <c r="B49" s="358" t="s">
        <v>145</v>
      </c>
      <c r="C49" s="356">
        <v>25000</v>
      </c>
      <c r="D49" s="356">
        <v>20440</v>
      </c>
      <c r="E49" s="96">
        <f t="shared" si="0"/>
        <v>4560</v>
      </c>
    </row>
    <row r="50" spans="1:9" ht="15.75" customHeight="1" x14ac:dyDescent="0.25">
      <c r="A50" s="692" t="s">
        <v>291</v>
      </c>
      <c r="B50" s="693"/>
      <c r="C50" s="693"/>
      <c r="D50" s="693"/>
      <c r="E50" s="694"/>
    </row>
    <row r="51" spans="1:9" x14ac:dyDescent="0.25">
      <c r="A51" s="58"/>
      <c r="B51" s="358" t="s">
        <v>211</v>
      </c>
      <c r="C51" s="356">
        <v>47000</v>
      </c>
      <c r="D51" s="359">
        <v>29977.79</v>
      </c>
      <c r="E51" s="96">
        <f t="shared" si="0"/>
        <v>17022.21</v>
      </c>
      <c r="F51" s="102"/>
      <c r="I51" s="192"/>
    </row>
    <row r="52" spans="1:9" ht="33" customHeight="1" x14ac:dyDescent="0.25">
      <c r="A52" s="689" t="s">
        <v>290</v>
      </c>
      <c r="B52" s="690"/>
      <c r="C52" s="690"/>
      <c r="D52" s="690"/>
      <c r="E52" s="691"/>
      <c r="F52" s="102"/>
      <c r="I52" s="192"/>
    </row>
    <row r="53" spans="1:9" x14ac:dyDescent="0.25">
      <c r="A53" s="39"/>
      <c r="B53" s="310" t="s">
        <v>15</v>
      </c>
      <c r="C53" s="33">
        <f>+C20+C34+C45+C49+C51+C44</f>
        <v>1642230</v>
      </c>
      <c r="D53" s="33">
        <f>+D20+D34+D45+D44+D49+D51</f>
        <v>1133350.58</v>
      </c>
      <c r="E53" s="33">
        <f>+C53-D53</f>
        <v>508879.41999999993</v>
      </c>
      <c r="I53" s="192"/>
    </row>
    <row r="54" spans="1:9" x14ac:dyDescent="0.25">
      <c r="A54" s="656" t="s">
        <v>17</v>
      </c>
      <c r="B54" s="657"/>
      <c r="C54" s="657"/>
      <c r="D54" s="657"/>
      <c r="E54" s="658"/>
    </row>
    <row r="55" spans="1:9" ht="32.25" customHeight="1" x14ac:dyDescent="0.25">
      <c r="A55" s="80">
        <v>113241</v>
      </c>
      <c r="B55" s="1" t="s">
        <v>77</v>
      </c>
      <c r="C55" s="356"/>
      <c r="D55" s="356"/>
      <c r="E55" s="360">
        <f>+C55-D55</f>
        <v>0</v>
      </c>
    </row>
    <row r="56" spans="1:9" ht="33" customHeight="1" x14ac:dyDescent="0.25">
      <c r="A56" s="686"/>
      <c r="B56" s="687"/>
      <c r="C56" s="687"/>
      <c r="D56" s="687"/>
      <c r="E56" s="688"/>
    </row>
    <row r="57" spans="1:9" x14ac:dyDescent="0.25">
      <c r="A57" s="39"/>
      <c r="B57" s="236" t="s">
        <v>18</v>
      </c>
      <c r="C57" s="33">
        <f>C55</f>
        <v>0</v>
      </c>
      <c r="D57" s="33">
        <f>D55</f>
        <v>0</v>
      </c>
      <c r="E57" s="33">
        <f>E56</f>
        <v>0</v>
      </c>
    </row>
    <row r="58" spans="1:9" ht="15.6" hidden="1" x14ac:dyDescent="0.35">
      <c r="A58" s="59"/>
      <c r="B58" s="193" t="s">
        <v>79</v>
      </c>
      <c r="C58" s="29">
        <v>4267199.74</v>
      </c>
      <c r="D58" s="29">
        <v>4267199.74</v>
      </c>
      <c r="E58" s="139"/>
    </row>
    <row r="59" spans="1:9" ht="15.6" hidden="1" x14ac:dyDescent="0.35">
      <c r="A59" s="59"/>
      <c r="B59" s="193" t="s">
        <v>114</v>
      </c>
      <c r="C59" s="29">
        <v>443970</v>
      </c>
      <c r="D59" s="29">
        <v>443970</v>
      </c>
      <c r="E59" s="139"/>
    </row>
    <row r="60" spans="1:9" ht="15.6" hidden="1" x14ac:dyDescent="0.35">
      <c r="A60" s="59"/>
      <c r="B60" s="193" t="s">
        <v>115</v>
      </c>
      <c r="C60" s="29">
        <v>250000</v>
      </c>
      <c r="D60" s="29">
        <v>250000</v>
      </c>
      <c r="E60" s="139"/>
    </row>
    <row r="61" spans="1:9" ht="15.6" hidden="1" x14ac:dyDescent="0.35">
      <c r="A61" s="59"/>
      <c r="B61" s="193" t="s">
        <v>116</v>
      </c>
      <c r="C61" s="29">
        <v>37611</v>
      </c>
      <c r="D61" s="29">
        <v>37611</v>
      </c>
      <c r="E61" s="139"/>
    </row>
    <row r="62" spans="1:9" ht="15.6" hidden="1" x14ac:dyDescent="0.35">
      <c r="A62" s="59"/>
      <c r="B62" s="193" t="s">
        <v>117</v>
      </c>
      <c r="C62" s="29">
        <v>45260</v>
      </c>
      <c r="D62" s="29">
        <v>45260</v>
      </c>
      <c r="E62" s="139"/>
      <c r="H62">
        <f>443970+250000+37611+45260+4267199.74</f>
        <v>5044040.74</v>
      </c>
    </row>
    <row r="63" spans="1:9" ht="30.95" hidden="1" x14ac:dyDescent="0.35">
      <c r="A63" s="59"/>
      <c r="B63" s="114" t="s">
        <v>118</v>
      </c>
      <c r="C63" s="29">
        <v>286787.21999999997</v>
      </c>
      <c r="D63" s="29">
        <v>286787.21999999997</v>
      </c>
      <c r="E63" s="139"/>
    </row>
    <row r="64" spans="1:9" ht="15.6" hidden="1" x14ac:dyDescent="0.35">
      <c r="A64" s="59"/>
      <c r="B64" s="236"/>
      <c r="C64" s="33">
        <f>SUM(C58:C63)</f>
        <v>5330827.96</v>
      </c>
      <c r="D64" s="33">
        <f>SUM(D58:D63)</f>
        <v>5330827.96</v>
      </c>
      <c r="E64" s="139"/>
    </row>
    <row r="65" spans="1:7" ht="15.6" hidden="1" x14ac:dyDescent="0.35">
      <c r="A65" s="59"/>
      <c r="B65" s="236" t="s">
        <v>119</v>
      </c>
      <c r="C65" s="33">
        <f>C57+C64</f>
        <v>5330827.96</v>
      </c>
      <c r="D65" s="33">
        <f>D57+D64</f>
        <v>5330827.96</v>
      </c>
      <c r="E65" s="139"/>
    </row>
    <row r="66" spans="1:7" ht="15.6" hidden="1" x14ac:dyDescent="0.35">
      <c r="A66" s="59"/>
      <c r="B66" s="236" t="s">
        <v>99</v>
      </c>
      <c r="C66" s="33">
        <f>C53+C65</f>
        <v>6973057.96</v>
      </c>
      <c r="D66" s="33"/>
      <c r="E66" s="139"/>
    </row>
    <row r="67" spans="1:7" x14ac:dyDescent="0.25">
      <c r="A67" s="59"/>
      <c r="B67" s="236" t="s">
        <v>121</v>
      </c>
      <c r="C67" s="184">
        <f>C53+C57</f>
        <v>1642230</v>
      </c>
      <c r="D67" s="184">
        <f>+D20+D34+D45+D49</f>
        <v>1103372.79</v>
      </c>
      <c r="E67" s="184">
        <f>E53+E57</f>
        <v>508879.41999999993</v>
      </c>
    </row>
    <row r="68" spans="1:7" x14ac:dyDescent="0.25">
      <c r="A68" s="59"/>
      <c r="B68" s="312" t="s">
        <v>35</v>
      </c>
      <c r="C68" s="62"/>
      <c r="D68" s="66">
        <f>D67/C67*100</f>
        <v>67.187470086406904</v>
      </c>
      <c r="E68" s="67" t="s">
        <v>34</v>
      </c>
    </row>
    <row r="69" spans="1:7" ht="82.5" customHeight="1" x14ac:dyDescent="0.25">
      <c r="A69" s="651" t="s">
        <v>124</v>
      </c>
      <c r="B69" s="651"/>
      <c r="C69" s="651"/>
      <c r="D69" s="651"/>
      <c r="E69" s="651"/>
      <c r="F69" s="195"/>
      <c r="G69" s="195"/>
    </row>
    <row r="70" spans="1:7" ht="18.75" customHeight="1" x14ac:dyDescent="0.25">
      <c r="B70" s="646"/>
      <c r="C70" s="646"/>
      <c r="D70" s="646"/>
      <c r="E70" s="646"/>
    </row>
    <row r="71" spans="1:7" x14ac:dyDescent="0.25">
      <c r="A71" t="s">
        <v>173</v>
      </c>
      <c r="C71" s="296"/>
      <c r="D71" s="297" t="s">
        <v>174</v>
      </c>
      <c r="E71" s="15" t="s">
        <v>175</v>
      </c>
    </row>
  </sheetData>
  <mergeCells count="14">
    <mergeCell ref="A69:E69"/>
    <mergeCell ref="B70:E70"/>
    <mergeCell ref="A4:E4"/>
    <mergeCell ref="A5:E5"/>
    <mergeCell ref="A6:E6"/>
    <mergeCell ref="A7:E7"/>
    <mergeCell ref="B11:E11"/>
    <mergeCell ref="A54:E54"/>
    <mergeCell ref="A21:E33"/>
    <mergeCell ref="A35:E43"/>
    <mergeCell ref="A46:E48"/>
    <mergeCell ref="A56:E56"/>
    <mergeCell ref="A52:E52"/>
    <mergeCell ref="A50:E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1"/>
  <sheetViews>
    <sheetView workbookViewId="0">
      <selection activeCell="D3" sqref="D3"/>
    </sheetView>
  </sheetViews>
  <sheetFormatPr defaultRowHeight="15.75" x14ac:dyDescent="0.25"/>
  <cols>
    <col min="1" max="1" width="7.140625" customWidth="1"/>
    <col min="2" max="2" width="33.28515625" style="15" customWidth="1"/>
    <col min="3" max="3" width="14.7109375" style="15" customWidth="1"/>
    <col min="4" max="4" width="13.5703125" style="24" customWidth="1"/>
    <col min="5" max="5" width="15.28515625" style="15" customWidth="1"/>
    <col min="7" max="7" width="10" bestFit="1" customWidth="1"/>
  </cols>
  <sheetData>
    <row r="1" spans="1:5" ht="18.75" customHeight="1" x14ac:dyDescent="0.25">
      <c r="D1" s="1" t="s">
        <v>598</v>
      </c>
      <c r="E1"/>
    </row>
    <row r="2" spans="1:5" x14ac:dyDescent="0.25">
      <c r="D2" t="s">
        <v>171</v>
      </c>
      <c r="E2" s="1"/>
    </row>
    <row r="3" spans="1:5" x14ac:dyDescent="0.25">
      <c r="C3" s="1"/>
      <c r="D3" t="s">
        <v>586</v>
      </c>
      <c r="E3" s="1"/>
    </row>
    <row r="4" spans="1:5" x14ac:dyDescent="0.25">
      <c r="A4" s="633" t="s">
        <v>122</v>
      </c>
      <c r="B4" s="633"/>
      <c r="C4" s="633"/>
      <c r="D4" s="633"/>
      <c r="E4" s="633"/>
    </row>
    <row r="5" spans="1:5" ht="33" customHeight="1" x14ac:dyDescent="0.25">
      <c r="A5" s="626" t="s">
        <v>265</v>
      </c>
      <c r="B5" s="626"/>
      <c r="C5" s="626"/>
      <c r="D5" s="626"/>
      <c r="E5" s="626"/>
    </row>
    <row r="6" spans="1:5" ht="315" customHeight="1" x14ac:dyDescent="0.25">
      <c r="A6" s="635" t="s">
        <v>293</v>
      </c>
      <c r="B6" s="635"/>
      <c r="C6" s="635"/>
      <c r="D6" s="635"/>
      <c r="E6" s="635"/>
    </row>
    <row r="7" spans="1:5" x14ac:dyDescent="0.25">
      <c r="A7" s="47" t="s">
        <v>283</v>
      </c>
      <c r="B7" s="47"/>
      <c r="C7" s="47"/>
      <c r="D7" s="340">
        <f>+C8+C9</f>
        <v>2677769.0399999996</v>
      </c>
      <c r="E7" s="93" t="s">
        <v>32</v>
      </c>
    </row>
    <row r="8" spans="1:5" x14ac:dyDescent="0.25">
      <c r="B8" s="89" t="s">
        <v>28</v>
      </c>
      <c r="C8" s="53">
        <f>+D24</f>
        <v>2265271.4299999997</v>
      </c>
      <c r="D8" s="93" t="s">
        <v>32</v>
      </c>
      <c r="E8" s="89"/>
    </row>
    <row r="9" spans="1:5" x14ac:dyDescent="0.25">
      <c r="B9" s="461" t="s">
        <v>29</v>
      </c>
      <c r="C9" s="53">
        <f>+D34</f>
        <v>412497.61</v>
      </c>
      <c r="D9" s="93" t="s">
        <v>32</v>
      </c>
      <c r="E9" s="460"/>
    </row>
    <row r="10" spans="1:5" ht="30.75" customHeight="1" x14ac:dyDescent="0.25">
      <c r="A10" s="50" t="s">
        <v>22</v>
      </c>
      <c r="B10" s="10" t="s">
        <v>80</v>
      </c>
      <c r="C10" s="2" t="s">
        <v>1</v>
      </c>
      <c r="D10" s="23" t="s">
        <v>9</v>
      </c>
      <c r="E10" s="2" t="s">
        <v>5</v>
      </c>
    </row>
    <row r="11" spans="1:5" x14ac:dyDescent="0.25">
      <c r="B11" s="653" t="s">
        <v>16</v>
      </c>
      <c r="C11" s="654"/>
      <c r="D11" s="654"/>
      <c r="E11" s="655"/>
    </row>
    <row r="12" spans="1:5" x14ac:dyDescent="0.25">
      <c r="A12" s="81">
        <v>111021</v>
      </c>
      <c r="B12" s="3" t="s">
        <v>50</v>
      </c>
      <c r="C12" s="6">
        <v>34000</v>
      </c>
      <c r="D12" s="6">
        <v>0</v>
      </c>
      <c r="E12" s="6">
        <f>C12-D12</f>
        <v>34000</v>
      </c>
    </row>
    <row r="13" spans="1:5" x14ac:dyDescent="0.25">
      <c r="A13" s="39"/>
      <c r="B13" s="3" t="s">
        <v>52</v>
      </c>
      <c r="C13" s="6">
        <v>30000</v>
      </c>
      <c r="D13" s="6">
        <v>0</v>
      </c>
      <c r="E13" s="6">
        <f>C13-D13</f>
        <v>30000</v>
      </c>
    </row>
    <row r="14" spans="1:5" x14ac:dyDescent="0.25">
      <c r="A14" s="39"/>
      <c r="B14" s="3" t="s">
        <v>191</v>
      </c>
      <c r="C14" s="6">
        <v>750000</v>
      </c>
      <c r="D14" s="6">
        <v>733758.22</v>
      </c>
      <c r="E14" s="6">
        <f>C14-D14</f>
        <v>16241.780000000028</v>
      </c>
    </row>
    <row r="15" spans="1:5" x14ac:dyDescent="0.25">
      <c r="A15" s="39"/>
      <c r="B15" s="3" t="s">
        <v>53</v>
      </c>
      <c r="C15" s="6">
        <v>670000</v>
      </c>
      <c r="D15" s="6">
        <v>638927.82999999996</v>
      </c>
      <c r="E15" s="6">
        <f>C15-D15</f>
        <v>31072.170000000042</v>
      </c>
    </row>
    <row r="16" spans="1:5" x14ac:dyDescent="0.25">
      <c r="A16" s="39"/>
      <c r="B16" s="122" t="s">
        <v>299</v>
      </c>
      <c r="C16" s="33">
        <f>SUM(C12:C15)</f>
        <v>1484000</v>
      </c>
      <c r="D16" s="33">
        <f>SUM(D12:D15)</f>
        <v>1372686.0499999998</v>
      </c>
      <c r="E16" s="33">
        <f>SUM(E12:E15)</f>
        <v>111313.95000000007</v>
      </c>
    </row>
    <row r="17" spans="1:7" ht="46.5" customHeight="1" x14ac:dyDescent="0.25">
      <c r="A17" s="704">
        <v>111403</v>
      </c>
      <c r="B17" s="706" t="s">
        <v>296</v>
      </c>
      <c r="C17" s="707"/>
      <c r="D17" s="707"/>
      <c r="E17" s="708"/>
    </row>
    <row r="18" spans="1:7" ht="12.75" customHeight="1" x14ac:dyDescent="0.25">
      <c r="A18" s="705"/>
      <c r="B18" s="3" t="s">
        <v>50</v>
      </c>
      <c r="C18" s="15">
        <v>180257.11</v>
      </c>
      <c r="D18" s="29">
        <v>0</v>
      </c>
      <c r="E18" s="29">
        <f>+C18-D18</f>
        <v>180257.11</v>
      </c>
    </row>
    <row r="19" spans="1:7" x14ac:dyDescent="0.25">
      <c r="A19" s="39"/>
      <c r="B19" s="3" t="s">
        <v>295</v>
      </c>
      <c r="C19" s="519">
        <v>141461.51999999999</v>
      </c>
      <c r="D19" s="29">
        <v>141429.42000000001</v>
      </c>
      <c r="E19" s="29">
        <f t="shared" ref="E19:E21" si="0">+C19-D19</f>
        <v>32.099999999976717</v>
      </c>
    </row>
    <row r="20" spans="1:7" x14ac:dyDescent="0.25">
      <c r="A20" s="39"/>
      <c r="B20" s="3" t="s">
        <v>191</v>
      </c>
      <c r="C20" s="519">
        <v>550552.93999999994</v>
      </c>
      <c r="D20" s="29">
        <v>391315.05</v>
      </c>
      <c r="E20" s="29">
        <f t="shared" si="0"/>
        <v>159237.88999999996</v>
      </c>
    </row>
    <row r="21" spans="1:7" x14ac:dyDescent="0.25">
      <c r="A21" s="39"/>
      <c r="B21" s="3" t="s">
        <v>53</v>
      </c>
      <c r="C21" s="519">
        <v>382328.43</v>
      </c>
      <c r="D21" s="29">
        <v>359840.91</v>
      </c>
      <c r="E21" s="29">
        <f t="shared" si="0"/>
        <v>22487.520000000019</v>
      </c>
    </row>
    <row r="22" spans="1:7" ht="130.5" customHeight="1" x14ac:dyDescent="0.25">
      <c r="A22" s="699" t="s">
        <v>297</v>
      </c>
      <c r="B22" s="700"/>
      <c r="C22" s="700"/>
      <c r="D22" s="700"/>
      <c r="E22" s="701"/>
    </row>
    <row r="23" spans="1:7" x14ac:dyDescent="0.25">
      <c r="A23" s="39"/>
      <c r="B23" s="462" t="s">
        <v>36</v>
      </c>
      <c r="C23" s="184">
        <f>+C18+C19+C20+C21</f>
        <v>1254600</v>
      </c>
      <c r="D23" s="184">
        <f t="shared" ref="D23" si="1">+D18+D19+D20+D21</f>
        <v>892585.37999999989</v>
      </c>
      <c r="E23" s="184">
        <f>+E18+E19+E20+E21</f>
        <v>362014.61999999994</v>
      </c>
    </row>
    <row r="24" spans="1:7" x14ac:dyDescent="0.25">
      <c r="A24" s="59"/>
      <c r="B24" s="462" t="s">
        <v>15</v>
      </c>
      <c r="C24" s="184">
        <f>+C16+C23</f>
        <v>2738600</v>
      </c>
      <c r="D24" s="184">
        <f>+D16+D23</f>
        <v>2265271.4299999997</v>
      </c>
      <c r="E24" s="184">
        <f>+E16+E23</f>
        <v>473328.57</v>
      </c>
      <c r="G24" s="102"/>
    </row>
    <row r="25" spans="1:7" x14ac:dyDescent="0.25">
      <c r="A25" s="59"/>
      <c r="B25" s="61" t="s">
        <v>35</v>
      </c>
      <c r="C25" s="63"/>
      <c r="D25" s="65">
        <f>+D24/C24*100</f>
        <v>82.716403636894754</v>
      </c>
      <c r="E25" s="64" t="s">
        <v>34</v>
      </c>
    </row>
    <row r="26" spans="1:7" ht="15.75" customHeight="1" x14ac:dyDescent="0.25">
      <c r="A26" s="656" t="s">
        <v>17</v>
      </c>
      <c r="B26" s="657"/>
      <c r="C26" s="657"/>
      <c r="D26" s="657"/>
      <c r="E26" s="658"/>
    </row>
    <row r="27" spans="1:7" x14ac:dyDescent="0.25">
      <c r="A27" s="81">
        <v>111021</v>
      </c>
      <c r="B27" s="3" t="s">
        <v>53</v>
      </c>
      <c r="C27" s="520">
        <v>773586</v>
      </c>
      <c r="D27" s="520">
        <v>412497.61</v>
      </c>
      <c r="E27" s="447">
        <f>+C27-D27</f>
        <v>361088.39</v>
      </c>
    </row>
    <row r="28" spans="1:7" ht="138.75" customHeight="1" x14ac:dyDescent="0.25">
      <c r="A28" s="702" t="s">
        <v>294</v>
      </c>
      <c r="B28" s="703"/>
      <c r="C28" s="703"/>
      <c r="D28" s="703"/>
      <c r="E28" s="703"/>
    </row>
    <row r="29" spans="1:7" ht="20.25" customHeight="1" x14ac:dyDescent="0.25">
      <c r="A29" s="521"/>
      <c r="B29" s="236" t="s">
        <v>299</v>
      </c>
      <c r="C29" s="522">
        <f>+C27</f>
        <v>773586</v>
      </c>
      <c r="D29" s="522">
        <f t="shared" ref="D29:E29" si="2">+D27</f>
        <v>412497.61</v>
      </c>
      <c r="E29" s="522">
        <f t="shared" si="2"/>
        <v>361088.39</v>
      </c>
    </row>
    <row r="30" spans="1:7" ht="49.5" customHeight="1" x14ac:dyDescent="0.25">
      <c r="A30" s="709">
        <v>111403</v>
      </c>
      <c r="B30" s="710" t="s">
        <v>296</v>
      </c>
      <c r="C30" s="710"/>
      <c r="D30" s="710"/>
      <c r="E30" s="710"/>
    </row>
    <row r="31" spans="1:7" x14ac:dyDescent="0.25">
      <c r="A31" s="709"/>
      <c r="B31" s="3" t="s">
        <v>53</v>
      </c>
      <c r="C31" s="447">
        <v>2207800</v>
      </c>
      <c r="D31" s="394">
        <v>0</v>
      </c>
      <c r="E31" s="394">
        <f>+C31-D31</f>
        <v>2207800</v>
      </c>
    </row>
    <row r="32" spans="1:7" ht="62.25" customHeight="1" x14ac:dyDescent="0.25">
      <c r="A32" s="702" t="s">
        <v>298</v>
      </c>
      <c r="B32" s="702"/>
      <c r="C32" s="702"/>
      <c r="D32" s="702"/>
      <c r="E32" s="702"/>
    </row>
    <row r="33" spans="1:5" x14ac:dyDescent="0.25">
      <c r="A33" s="39"/>
      <c r="B33" s="236" t="s">
        <v>36</v>
      </c>
      <c r="C33" s="65">
        <f>+C31</f>
        <v>2207800</v>
      </c>
      <c r="D33" s="65">
        <f t="shared" ref="D33:E33" si="3">+D31</f>
        <v>0</v>
      </c>
      <c r="E33" s="65">
        <f t="shared" si="3"/>
        <v>2207800</v>
      </c>
    </row>
    <row r="34" spans="1:5" x14ac:dyDescent="0.25">
      <c r="A34" s="39"/>
      <c r="B34" s="236" t="s">
        <v>18</v>
      </c>
      <c r="C34" s="65">
        <f>+C29+C31</f>
        <v>2981386</v>
      </c>
      <c r="D34" s="65">
        <f t="shared" ref="D34:E34" si="4">+D29+D31</f>
        <v>412497.61</v>
      </c>
      <c r="E34" s="65">
        <f t="shared" si="4"/>
        <v>2568888.39</v>
      </c>
    </row>
    <row r="35" spans="1:5" x14ac:dyDescent="0.25">
      <c r="A35" s="695" t="s">
        <v>35</v>
      </c>
      <c r="B35" s="696"/>
      <c r="C35" s="711"/>
      <c r="D35" s="65">
        <f>+D34/C34*100</f>
        <v>13.835766653496059</v>
      </c>
      <c r="E35" s="64" t="s">
        <v>34</v>
      </c>
    </row>
    <row r="36" spans="1:5" x14ac:dyDescent="0.25">
      <c r="A36" s="697" t="s">
        <v>121</v>
      </c>
      <c r="B36" s="698"/>
      <c r="C36" s="524">
        <f>+C34+C24</f>
        <v>5719986</v>
      </c>
      <c r="D36" s="524">
        <f t="shared" ref="D36:E36" si="5">+D34+D24</f>
        <v>2677769.0399999996</v>
      </c>
      <c r="E36" s="524">
        <f t="shared" si="5"/>
        <v>3042216.96</v>
      </c>
    </row>
    <row r="37" spans="1:5" x14ac:dyDescent="0.25">
      <c r="A37" s="695" t="s">
        <v>35</v>
      </c>
      <c r="B37" s="696"/>
      <c r="C37" s="696"/>
      <c r="D37" s="65">
        <f>+D36/C36*100</f>
        <v>46.814258636297353</v>
      </c>
      <c r="E37" s="64"/>
    </row>
    <row r="38" spans="1:5" x14ac:dyDescent="0.25">
      <c r="A38" s="453"/>
      <c r="B38" s="517"/>
      <c r="C38" s="518"/>
      <c r="D38" s="518"/>
      <c r="E38" s="455"/>
    </row>
    <row r="39" spans="1:5" ht="8.25" customHeight="1" x14ac:dyDescent="0.25">
      <c r="A39" s="635"/>
      <c r="B39" s="635"/>
      <c r="C39" s="635"/>
      <c r="D39" s="635"/>
      <c r="E39" s="635"/>
    </row>
    <row r="40" spans="1:5" ht="10.5" customHeight="1" x14ac:dyDescent="0.25"/>
    <row r="41" spans="1:5" x14ac:dyDescent="0.25">
      <c r="A41" t="s">
        <v>177</v>
      </c>
      <c r="C41" s="296"/>
      <c r="D41" s="297" t="s">
        <v>174</v>
      </c>
      <c r="E41" s="15" t="s">
        <v>175</v>
      </c>
    </row>
  </sheetData>
  <mergeCells count="16">
    <mergeCell ref="A37:C37"/>
    <mergeCell ref="A36:B36"/>
    <mergeCell ref="A39:E39"/>
    <mergeCell ref="A4:E4"/>
    <mergeCell ref="A5:E5"/>
    <mergeCell ref="A6:E6"/>
    <mergeCell ref="B11:E11"/>
    <mergeCell ref="A26:E26"/>
    <mergeCell ref="A22:E22"/>
    <mergeCell ref="A28:E28"/>
    <mergeCell ref="A17:A18"/>
    <mergeCell ref="B17:E17"/>
    <mergeCell ref="A30:A31"/>
    <mergeCell ref="B30:E30"/>
    <mergeCell ref="A32:E32"/>
    <mergeCell ref="A35:C35"/>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35"/>
  <sheetViews>
    <sheetView workbookViewId="0">
      <selection activeCell="L35" sqref="L35"/>
    </sheetView>
  </sheetViews>
  <sheetFormatPr defaultRowHeight="15.75" x14ac:dyDescent="0.25"/>
  <cols>
    <col min="1" max="1" width="7.140625" customWidth="1"/>
    <col min="2" max="2" width="32" style="15" customWidth="1"/>
    <col min="3" max="3" width="8.28515625" style="15" customWidth="1"/>
    <col min="4" max="4" width="15.28515625" style="117" customWidth="1"/>
    <col min="5" max="5" width="22" style="117" customWidth="1"/>
    <col min="6" max="6" width="16.5703125" style="117" customWidth="1"/>
  </cols>
  <sheetData>
    <row r="1" spans="1:6" x14ac:dyDescent="0.25">
      <c r="E1" s="1" t="s">
        <v>599</v>
      </c>
      <c r="F1"/>
    </row>
    <row r="2" spans="1:6" x14ac:dyDescent="0.25">
      <c r="E2" t="s">
        <v>171</v>
      </c>
      <c r="F2" s="1"/>
    </row>
    <row r="3" spans="1:6" x14ac:dyDescent="0.25">
      <c r="B3" s="1"/>
      <c r="C3" s="1"/>
      <c r="D3" s="99"/>
      <c r="E3" t="s">
        <v>600</v>
      </c>
      <c r="F3" s="1"/>
    </row>
    <row r="4" spans="1:6" x14ac:dyDescent="0.25">
      <c r="A4" s="627" t="s">
        <v>122</v>
      </c>
      <c r="B4" s="627"/>
      <c r="C4" s="627"/>
      <c r="D4" s="627"/>
      <c r="E4" s="627"/>
      <c r="F4" s="627"/>
    </row>
    <row r="5" spans="1:6" ht="33" customHeight="1" x14ac:dyDescent="0.25">
      <c r="A5" s="632" t="s">
        <v>560</v>
      </c>
      <c r="B5" s="632"/>
      <c r="C5" s="632"/>
      <c r="D5" s="632"/>
      <c r="E5" s="632"/>
      <c r="F5" s="632"/>
    </row>
    <row r="6" spans="1:6" s="112" customFormat="1" ht="348.75" customHeight="1" x14ac:dyDescent="0.25">
      <c r="A6" s="713" t="s">
        <v>580</v>
      </c>
      <c r="B6" s="713"/>
      <c r="C6" s="713"/>
      <c r="D6" s="713"/>
      <c r="E6" s="713"/>
      <c r="F6" s="713"/>
    </row>
    <row r="7" spans="1:6" s="112" customFormat="1" ht="21.75" customHeight="1" x14ac:dyDescent="0.25">
      <c r="A7" s="713"/>
      <c r="B7" s="713"/>
      <c r="C7" s="713"/>
      <c r="D7" s="713"/>
      <c r="E7" s="713"/>
      <c r="F7" s="713"/>
    </row>
    <row r="8" spans="1:6" ht="15" customHeight="1" x14ac:dyDescent="0.25">
      <c r="A8" s="47" t="s">
        <v>283</v>
      </c>
      <c r="B8" s="47"/>
      <c r="C8" s="47"/>
      <c r="D8" s="47"/>
      <c r="E8" s="340">
        <f>+D9+D10</f>
        <v>18532939.619999997</v>
      </c>
      <c r="F8" s="115" t="s">
        <v>32</v>
      </c>
    </row>
    <row r="9" spans="1:6" x14ac:dyDescent="0.25">
      <c r="B9" s="110" t="s">
        <v>28</v>
      </c>
      <c r="C9" s="110"/>
      <c r="D9" s="53">
        <f>E103</f>
        <v>14572250.219999999</v>
      </c>
      <c r="E9" s="53" t="s">
        <v>32</v>
      </c>
      <c r="F9" s="51"/>
    </row>
    <row r="10" spans="1:6" x14ac:dyDescent="0.25">
      <c r="B10" s="49" t="s">
        <v>29</v>
      </c>
      <c r="C10" s="111"/>
      <c r="D10" s="52">
        <f>E130</f>
        <v>3960689.4</v>
      </c>
      <c r="E10" s="115" t="s">
        <v>32</v>
      </c>
      <c r="F10" s="52"/>
    </row>
    <row r="11" spans="1:6" ht="30.75" customHeight="1" x14ac:dyDescent="0.25">
      <c r="A11" s="50" t="s">
        <v>22</v>
      </c>
      <c r="B11" s="10" t="s">
        <v>81</v>
      </c>
      <c r="C11" s="617" t="s">
        <v>31</v>
      </c>
      <c r="D11" s="116" t="s">
        <v>1</v>
      </c>
      <c r="E11" s="116" t="s">
        <v>11</v>
      </c>
      <c r="F11" s="116" t="s">
        <v>5</v>
      </c>
    </row>
    <row r="12" spans="1:6" x14ac:dyDescent="0.25">
      <c r="A12" s="39"/>
      <c r="B12" s="714" t="s">
        <v>16</v>
      </c>
      <c r="C12" s="714"/>
      <c r="D12" s="714"/>
      <c r="E12" s="714"/>
      <c r="F12" s="714"/>
    </row>
    <row r="13" spans="1:6" x14ac:dyDescent="0.25">
      <c r="A13" s="81">
        <v>111010</v>
      </c>
      <c r="B13" s="616" t="s">
        <v>155</v>
      </c>
      <c r="C13" s="616"/>
      <c r="D13" s="223"/>
      <c r="E13" s="223"/>
      <c r="F13" s="223"/>
    </row>
    <row r="14" spans="1:6" ht="31.5" x14ac:dyDescent="0.25">
      <c r="A14" s="39"/>
      <c r="B14" s="144" t="s">
        <v>110</v>
      </c>
      <c r="C14" s="5"/>
      <c r="D14" s="101">
        <v>2863700</v>
      </c>
      <c r="E14" s="101">
        <v>2708725.07</v>
      </c>
      <c r="F14" s="101">
        <f>D14-E14</f>
        <v>154974.93000000017</v>
      </c>
    </row>
    <row r="15" spans="1:6" ht="15.75" customHeight="1" x14ac:dyDescent="0.25">
      <c r="A15" s="39"/>
      <c r="B15" s="144" t="s">
        <v>111</v>
      </c>
      <c r="C15" s="5"/>
      <c r="D15" s="96">
        <v>94400</v>
      </c>
      <c r="E15" s="96">
        <v>93892.89</v>
      </c>
      <c r="F15" s="96">
        <f t="shared" ref="F15" si="0">D15-E15</f>
        <v>507.11000000000058</v>
      </c>
    </row>
    <row r="16" spans="1:6" ht="15.75" customHeight="1" x14ac:dyDescent="0.25">
      <c r="A16" s="39"/>
      <c r="B16" s="144" t="s">
        <v>90</v>
      </c>
      <c r="C16" s="3"/>
      <c r="D16" s="96">
        <v>3841170</v>
      </c>
      <c r="E16" s="96">
        <v>3838163.19</v>
      </c>
      <c r="F16" s="96">
        <f>D16-E16</f>
        <v>3006.8100000000559</v>
      </c>
    </row>
    <row r="17" spans="1:6" ht="15.75" customHeight="1" x14ac:dyDescent="0.25">
      <c r="A17" s="39"/>
      <c r="B17" s="717" t="s">
        <v>601</v>
      </c>
      <c r="C17" s="717"/>
      <c r="D17" s="717"/>
      <c r="E17" s="717"/>
      <c r="F17" s="717"/>
    </row>
    <row r="18" spans="1:6" ht="15.75" customHeight="1" x14ac:dyDescent="0.25">
      <c r="A18" s="39"/>
      <c r="B18" s="717"/>
      <c r="C18" s="717"/>
      <c r="D18" s="717"/>
      <c r="E18" s="717"/>
      <c r="F18" s="717"/>
    </row>
    <row r="19" spans="1:6" ht="15.75" customHeight="1" x14ac:dyDescent="0.25">
      <c r="A19" s="39"/>
      <c r="B19" s="717"/>
      <c r="C19" s="717"/>
      <c r="D19" s="717"/>
      <c r="E19" s="717"/>
      <c r="F19" s="717"/>
    </row>
    <row r="20" spans="1:6" ht="15.75" customHeight="1" x14ac:dyDescent="0.25">
      <c r="A20" s="39"/>
      <c r="B20" s="717"/>
      <c r="C20" s="717"/>
      <c r="D20" s="717"/>
      <c r="E20" s="717"/>
      <c r="F20" s="717"/>
    </row>
    <row r="21" spans="1:6" ht="15.75" customHeight="1" x14ac:dyDescent="0.25">
      <c r="A21" s="39"/>
      <c r="B21" s="717"/>
      <c r="C21" s="717"/>
      <c r="D21" s="717"/>
      <c r="E21" s="717"/>
      <c r="F21" s="717"/>
    </row>
    <row r="22" spans="1:6" ht="31.5" customHeight="1" x14ac:dyDescent="0.25">
      <c r="A22" s="39"/>
      <c r="B22" s="717"/>
      <c r="C22" s="717"/>
      <c r="D22" s="717"/>
      <c r="E22" s="717"/>
      <c r="F22" s="717"/>
    </row>
    <row r="23" spans="1:6" ht="15.75" customHeight="1" x14ac:dyDescent="0.25">
      <c r="A23" s="39"/>
      <c r="B23" s="717"/>
      <c r="C23" s="717"/>
      <c r="D23" s="717"/>
      <c r="E23" s="717"/>
      <c r="F23" s="717"/>
    </row>
    <row r="24" spans="1:6" ht="15.75" customHeight="1" x14ac:dyDescent="0.25">
      <c r="A24" s="39"/>
      <c r="B24" s="717"/>
      <c r="C24" s="717"/>
      <c r="D24" s="717"/>
      <c r="E24" s="717"/>
      <c r="F24" s="717"/>
    </row>
    <row r="25" spans="1:6" ht="15.75" customHeight="1" x14ac:dyDescent="0.25">
      <c r="A25" s="39"/>
      <c r="B25" s="717"/>
      <c r="C25" s="717"/>
      <c r="D25" s="717"/>
      <c r="E25" s="717"/>
      <c r="F25" s="717"/>
    </row>
    <row r="26" spans="1:6" ht="15.75" customHeight="1" x14ac:dyDescent="0.25">
      <c r="A26" s="39"/>
      <c r="B26" s="717"/>
      <c r="C26" s="717"/>
      <c r="D26" s="717"/>
      <c r="E26" s="717"/>
      <c r="F26" s="717"/>
    </row>
    <row r="27" spans="1:6" ht="15.75" customHeight="1" x14ac:dyDescent="0.25">
      <c r="A27" s="39"/>
      <c r="B27" s="717"/>
      <c r="C27" s="717"/>
      <c r="D27" s="717"/>
      <c r="E27" s="717"/>
      <c r="F27" s="717"/>
    </row>
    <row r="28" spans="1:6" ht="15.75" customHeight="1" x14ac:dyDescent="0.25">
      <c r="A28" s="39"/>
      <c r="B28" s="717"/>
      <c r="C28" s="717"/>
      <c r="D28" s="717"/>
      <c r="E28" s="717"/>
      <c r="F28" s="717"/>
    </row>
    <row r="29" spans="1:6" ht="15.75" customHeight="1" x14ac:dyDescent="0.25">
      <c r="A29" s="39"/>
      <c r="B29" s="717"/>
      <c r="C29" s="717"/>
      <c r="D29" s="717"/>
      <c r="E29" s="717"/>
      <c r="F29" s="717"/>
    </row>
    <row r="30" spans="1:6" ht="15.75" customHeight="1" x14ac:dyDescent="0.25">
      <c r="A30" s="39"/>
      <c r="B30" s="717"/>
      <c r="C30" s="717"/>
      <c r="D30" s="717"/>
      <c r="E30" s="717"/>
      <c r="F30" s="717"/>
    </row>
    <row r="31" spans="1:6" ht="378.75" customHeight="1" x14ac:dyDescent="0.25">
      <c r="A31" s="39"/>
      <c r="B31" s="717"/>
      <c r="C31" s="717"/>
      <c r="D31" s="717"/>
      <c r="E31" s="717"/>
      <c r="F31" s="717"/>
    </row>
    <row r="32" spans="1:6" ht="394.5" customHeight="1" x14ac:dyDescent="0.25">
      <c r="A32" s="39"/>
      <c r="B32" s="721" t="s">
        <v>582</v>
      </c>
      <c r="C32" s="722"/>
      <c r="D32" s="722"/>
      <c r="E32" s="722"/>
      <c r="F32" s="722"/>
    </row>
    <row r="33" spans="1:6" ht="31.5" x14ac:dyDescent="0.25">
      <c r="A33" s="39"/>
      <c r="B33" s="144" t="s">
        <v>212</v>
      </c>
      <c r="C33" s="3"/>
      <c r="D33" s="96">
        <v>2128034</v>
      </c>
      <c r="E33" s="96">
        <v>2050697.53</v>
      </c>
      <c r="F33" s="96">
        <f>+D33-E33</f>
        <v>77336.469999999972</v>
      </c>
    </row>
    <row r="34" spans="1:6" ht="15.75" customHeight="1" x14ac:dyDescent="0.25">
      <c r="A34" s="39"/>
      <c r="B34" s="718" t="s">
        <v>581</v>
      </c>
      <c r="C34" s="718"/>
      <c r="D34" s="718"/>
      <c r="E34" s="718"/>
      <c r="F34" s="718"/>
    </row>
    <row r="35" spans="1:6" ht="31.5" customHeight="1" x14ac:dyDescent="0.25">
      <c r="A35" s="39"/>
      <c r="B35" s="718"/>
      <c r="C35" s="718"/>
      <c r="D35" s="718"/>
      <c r="E35" s="718"/>
      <c r="F35" s="718"/>
    </row>
    <row r="36" spans="1:6" ht="15.75" customHeight="1" x14ac:dyDescent="0.25">
      <c r="A36" s="39"/>
      <c r="B36" s="718"/>
      <c r="C36" s="718"/>
      <c r="D36" s="718"/>
      <c r="E36" s="718"/>
      <c r="F36" s="718"/>
    </row>
    <row r="37" spans="1:6" ht="15.75" customHeight="1" x14ac:dyDescent="0.25">
      <c r="A37" s="39"/>
      <c r="B37" s="718"/>
      <c r="C37" s="718"/>
      <c r="D37" s="718"/>
      <c r="E37" s="718"/>
      <c r="F37" s="718"/>
    </row>
    <row r="38" spans="1:6" ht="15.75" customHeight="1" x14ac:dyDescent="0.25">
      <c r="A38" s="39"/>
      <c r="B38" s="718"/>
      <c r="C38" s="718"/>
      <c r="D38" s="718"/>
      <c r="E38" s="718"/>
      <c r="F38" s="718"/>
    </row>
    <row r="39" spans="1:6" ht="31.5" customHeight="1" x14ac:dyDescent="0.25">
      <c r="A39" s="39"/>
      <c r="B39" s="718"/>
      <c r="C39" s="718"/>
      <c r="D39" s="718"/>
      <c r="E39" s="718"/>
      <c r="F39" s="718"/>
    </row>
    <row r="40" spans="1:6" ht="31.5" customHeight="1" x14ac:dyDescent="0.25">
      <c r="A40" s="39"/>
      <c r="B40" s="718"/>
      <c r="C40" s="718"/>
      <c r="D40" s="718"/>
      <c r="E40" s="718"/>
      <c r="F40" s="718"/>
    </row>
    <row r="41" spans="1:6" ht="31.5" customHeight="1" x14ac:dyDescent="0.25">
      <c r="A41" s="39"/>
      <c r="B41" s="718"/>
      <c r="C41" s="718"/>
      <c r="D41" s="718"/>
      <c r="E41" s="718"/>
      <c r="F41" s="718"/>
    </row>
    <row r="42" spans="1:6" ht="15.75" customHeight="1" x14ac:dyDescent="0.25">
      <c r="A42" s="39"/>
      <c r="B42" s="718"/>
      <c r="C42" s="718"/>
      <c r="D42" s="718"/>
      <c r="E42" s="718"/>
      <c r="F42" s="718"/>
    </row>
    <row r="43" spans="1:6" ht="18.75" customHeight="1" x14ac:dyDescent="0.25">
      <c r="A43" s="39"/>
      <c r="B43" s="718"/>
      <c r="C43" s="718"/>
      <c r="D43" s="718"/>
      <c r="E43" s="718"/>
      <c r="F43" s="718"/>
    </row>
    <row r="44" spans="1:6" ht="15.75" customHeight="1" x14ac:dyDescent="0.25">
      <c r="A44" s="39"/>
      <c r="B44" s="718"/>
      <c r="C44" s="718"/>
      <c r="D44" s="718"/>
      <c r="E44" s="718"/>
      <c r="F44" s="718"/>
    </row>
    <row r="45" spans="1:6" ht="15.75" customHeight="1" x14ac:dyDescent="0.25">
      <c r="A45" s="39"/>
      <c r="B45" s="718"/>
      <c r="C45" s="718"/>
      <c r="D45" s="718"/>
      <c r="E45" s="718"/>
      <c r="F45" s="718"/>
    </row>
    <row r="46" spans="1:6" ht="31.5" customHeight="1" x14ac:dyDescent="0.25">
      <c r="A46" s="39"/>
      <c r="B46" s="718"/>
      <c r="C46" s="718"/>
      <c r="D46" s="718"/>
      <c r="E46" s="718"/>
      <c r="F46" s="718"/>
    </row>
    <row r="47" spans="1:6" ht="31.5" customHeight="1" x14ac:dyDescent="0.25">
      <c r="A47" s="39"/>
      <c r="B47" s="718"/>
      <c r="C47" s="718"/>
      <c r="D47" s="718"/>
      <c r="E47" s="718"/>
      <c r="F47" s="718"/>
    </row>
    <row r="48" spans="1:6" ht="31.5" customHeight="1" x14ac:dyDescent="0.25">
      <c r="A48" s="39"/>
      <c r="B48" s="718"/>
      <c r="C48" s="718"/>
      <c r="D48" s="718"/>
      <c r="E48" s="718"/>
      <c r="F48" s="718"/>
    </row>
    <row r="49" spans="1:6" ht="31.5" customHeight="1" x14ac:dyDescent="0.25">
      <c r="A49" s="39"/>
      <c r="B49" s="718"/>
      <c r="C49" s="718"/>
      <c r="D49" s="718"/>
      <c r="E49" s="718"/>
      <c r="F49" s="718"/>
    </row>
    <row r="50" spans="1:6" ht="31.5" customHeight="1" x14ac:dyDescent="0.25">
      <c r="A50" s="39"/>
      <c r="B50" s="718"/>
      <c r="C50" s="718"/>
      <c r="D50" s="718"/>
      <c r="E50" s="718"/>
      <c r="F50" s="718"/>
    </row>
    <row r="51" spans="1:6" ht="31.5" customHeight="1" x14ac:dyDescent="0.25">
      <c r="A51" s="39"/>
      <c r="B51" s="718"/>
      <c r="C51" s="718"/>
      <c r="D51" s="718"/>
      <c r="E51" s="718"/>
      <c r="F51" s="718"/>
    </row>
    <row r="52" spans="1:6" ht="31.5" customHeight="1" x14ac:dyDescent="0.25">
      <c r="A52" s="39"/>
      <c r="B52" s="718"/>
      <c r="C52" s="718"/>
      <c r="D52" s="718"/>
      <c r="E52" s="718"/>
      <c r="F52" s="718"/>
    </row>
    <row r="53" spans="1:6" ht="31.5" customHeight="1" x14ac:dyDescent="0.25">
      <c r="A53" s="39"/>
      <c r="B53" s="718"/>
      <c r="C53" s="718"/>
      <c r="D53" s="718"/>
      <c r="E53" s="718"/>
      <c r="F53" s="718"/>
    </row>
    <row r="54" spans="1:6" ht="327.75" customHeight="1" x14ac:dyDescent="0.25">
      <c r="A54" s="39"/>
      <c r="B54" s="718"/>
      <c r="C54" s="718"/>
      <c r="D54" s="718"/>
      <c r="E54" s="718"/>
      <c r="F54" s="718"/>
    </row>
    <row r="55" spans="1:6" x14ac:dyDescent="0.25">
      <c r="A55" s="39"/>
      <c r="B55" s="144" t="s">
        <v>151</v>
      </c>
      <c r="C55" s="5"/>
      <c r="D55" s="6"/>
      <c r="E55" s="6"/>
      <c r="F55" s="6"/>
    </row>
    <row r="56" spans="1:6" x14ac:dyDescent="0.25">
      <c r="A56" s="39"/>
      <c r="B56" s="3" t="s">
        <v>85</v>
      </c>
      <c r="C56" s="3"/>
      <c r="D56" s="29">
        <v>62370</v>
      </c>
      <c r="E56" s="6">
        <v>53890</v>
      </c>
      <c r="F56" s="6">
        <f>+D56-E56</f>
        <v>8480</v>
      </c>
    </row>
    <row r="57" spans="1:6" ht="31.5" hidden="1" x14ac:dyDescent="0.25">
      <c r="A57" s="39"/>
      <c r="B57" s="3" t="s">
        <v>112</v>
      </c>
      <c r="C57" s="3"/>
      <c r="D57" s="29"/>
      <c r="E57" s="6"/>
      <c r="F57" s="6">
        <f t="shared" ref="F57:F58" si="1">+D57-E57</f>
        <v>0</v>
      </c>
    </row>
    <row r="58" spans="1:6" x14ac:dyDescent="0.25">
      <c r="A58" s="39"/>
      <c r="B58" s="3" t="s">
        <v>86</v>
      </c>
      <c r="C58" s="3"/>
      <c r="D58" s="29">
        <v>100</v>
      </c>
      <c r="E58" s="6">
        <v>0</v>
      </c>
      <c r="F58" s="6">
        <f t="shared" si="1"/>
        <v>100</v>
      </c>
    </row>
    <row r="59" spans="1:6" x14ac:dyDescent="0.25">
      <c r="A59" s="39"/>
      <c r="B59" s="5" t="s">
        <v>153</v>
      </c>
      <c r="C59" s="5"/>
      <c r="D59" s="96">
        <f>D56+D57+D55+D58</f>
        <v>62470</v>
      </c>
      <c r="E59" s="96">
        <f>E56+E57</f>
        <v>53890</v>
      </c>
      <c r="F59" s="96">
        <f>D59-E59</f>
        <v>8580</v>
      </c>
    </row>
    <row r="60" spans="1:6" x14ac:dyDescent="0.25">
      <c r="A60" s="39"/>
      <c r="B60" s="120" t="s">
        <v>113</v>
      </c>
      <c r="C60" s="5"/>
      <c r="D60" s="33">
        <v>0</v>
      </c>
      <c r="E60" s="33">
        <v>0</v>
      </c>
      <c r="F60" s="96">
        <f t="shared" ref="F60" si="2">D60-E60</f>
        <v>0</v>
      </c>
    </row>
    <row r="61" spans="1:6" x14ac:dyDescent="0.25">
      <c r="A61" s="231"/>
      <c r="B61" s="228" t="s">
        <v>152</v>
      </c>
      <c r="C61" s="227"/>
      <c r="D61" s="229">
        <f>+D14+D15+D16+D33+D59</f>
        <v>8989774</v>
      </c>
      <c r="E61" s="229">
        <f>+E14+E15+E16+E33+E59</f>
        <v>8745368.6799999997</v>
      </c>
      <c r="F61" s="229">
        <f>+D61-E61</f>
        <v>244405.3200000003</v>
      </c>
    </row>
    <row r="62" spans="1:6" s="398" customFormat="1" x14ac:dyDescent="0.25">
      <c r="A62" s="399">
        <v>111021</v>
      </c>
      <c r="B62" s="400" t="s">
        <v>154</v>
      </c>
      <c r="C62" s="401"/>
      <c r="D62" s="402"/>
      <c r="E62" s="402"/>
      <c r="F62" s="402"/>
    </row>
    <row r="63" spans="1:6" x14ac:dyDescent="0.25">
      <c r="A63" s="39"/>
      <c r="B63" s="121" t="s">
        <v>78</v>
      </c>
      <c r="C63" s="14"/>
      <c r="D63" s="33">
        <v>42783</v>
      </c>
      <c r="E63" s="33">
        <v>37246</v>
      </c>
      <c r="F63" s="33">
        <f>+D63-E63</f>
        <v>5537</v>
      </c>
    </row>
    <row r="64" spans="1:6" x14ac:dyDescent="0.25">
      <c r="A64" s="39"/>
      <c r="B64" s="144" t="s">
        <v>157</v>
      </c>
      <c r="C64" s="14"/>
      <c r="D64" s="33">
        <v>3421715</v>
      </c>
      <c r="E64" s="33">
        <v>3199407.48</v>
      </c>
      <c r="F64" s="33">
        <f>+D64-E64</f>
        <v>222307.52000000002</v>
      </c>
    </row>
    <row r="65" spans="1:6" ht="15.75" customHeight="1" x14ac:dyDescent="0.25">
      <c r="A65" s="39"/>
      <c r="B65" s="719" t="s">
        <v>583</v>
      </c>
      <c r="C65" s="720"/>
      <c r="D65" s="720"/>
      <c r="E65" s="720"/>
      <c r="F65" s="720"/>
    </row>
    <row r="66" spans="1:6" ht="15.75" customHeight="1" x14ac:dyDescent="0.25">
      <c r="A66" s="39"/>
      <c r="B66" s="720"/>
      <c r="C66" s="720"/>
      <c r="D66" s="720"/>
      <c r="E66" s="720"/>
      <c r="F66" s="720"/>
    </row>
    <row r="67" spans="1:6" ht="15.75" customHeight="1" x14ac:dyDescent="0.25">
      <c r="A67" s="39"/>
      <c r="B67" s="720"/>
      <c r="C67" s="720"/>
      <c r="D67" s="720"/>
      <c r="E67" s="720"/>
      <c r="F67" s="720"/>
    </row>
    <row r="68" spans="1:6" ht="15.75" customHeight="1" x14ac:dyDescent="0.25">
      <c r="A68" s="39"/>
      <c r="B68" s="720"/>
      <c r="C68" s="720"/>
      <c r="D68" s="720"/>
      <c r="E68" s="720"/>
      <c r="F68" s="720"/>
    </row>
    <row r="69" spans="1:6" ht="15.75" customHeight="1" x14ac:dyDescent="0.25">
      <c r="A69" s="39"/>
      <c r="B69" s="720"/>
      <c r="C69" s="720"/>
      <c r="D69" s="720"/>
      <c r="E69" s="720"/>
      <c r="F69" s="720"/>
    </row>
    <row r="70" spans="1:6" ht="15.75" customHeight="1" x14ac:dyDescent="0.25">
      <c r="A70" s="39"/>
      <c r="B70" s="720"/>
      <c r="C70" s="720"/>
      <c r="D70" s="720"/>
      <c r="E70" s="720"/>
      <c r="F70" s="720"/>
    </row>
    <row r="71" spans="1:6" ht="47.25" customHeight="1" x14ac:dyDescent="0.25">
      <c r="A71" s="39"/>
      <c r="B71" s="720"/>
      <c r="C71" s="720"/>
      <c r="D71" s="720"/>
      <c r="E71" s="720"/>
      <c r="F71" s="720"/>
    </row>
    <row r="72" spans="1:6" ht="31.5" customHeight="1" x14ac:dyDescent="0.25">
      <c r="A72" s="39"/>
      <c r="B72" s="720"/>
      <c r="C72" s="720"/>
      <c r="D72" s="720"/>
      <c r="E72" s="720"/>
      <c r="F72" s="720"/>
    </row>
    <row r="73" spans="1:6" ht="15.75" customHeight="1" x14ac:dyDescent="0.25">
      <c r="A73" s="39"/>
      <c r="B73" s="720"/>
      <c r="C73" s="720"/>
      <c r="D73" s="720"/>
      <c r="E73" s="720"/>
      <c r="F73" s="720"/>
    </row>
    <row r="74" spans="1:6" ht="15.75" customHeight="1" x14ac:dyDescent="0.25">
      <c r="A74" s="39"/>
      <c r="B74" s="720"/>
      <c r="C74" s="720"/>
      <c r="D74" s="720"/>
      <c r="E74" s="720"/>
      <c r="F74" s="720"/>
    </row>
    <row r="75" spans="1:6" ht="286.5" customHeight="1" x14ac:dyDescent="0.25">
      <c r="A75" s="39"/>
      <c r="B75" s="720"/>
      <c r="C75" s="720"/>
      <c r="D75" s="720"/>
      <c r="E75" s="720"/>
      <c r="F75" s="720"/>
    </row>
    <row r="76" spans="1:6" ht="31.5" x14ac:dyDescent="0.25">
      <c r="A76" s="39"/>
      <c r="B76" s="144" t="s">
        <v>212</v>
      </c>
      <c r="C76" s="14"/>
      <c r="D76" s="33">
        <v>2618996</v>
      </c>
      <c r="E76" s="33">
        <v>2250736.83</v>
      </c>
      <c r="F76" s="33">
        <f>+D76-E76</f>
        <v>368259.16999999993</v>
      </c>
    </row>
    <row r="77" spans="1:6" ht="15.75" customHeight="1" x14ac:dyDescent="0.25">
      <c r="A77" s="39"/>
      <c r="B77" s="719" t="s">
        <v>584</v>
      </c>
      <c r="C77" s="719"/>
      <c r="D77" s="719"/>
      <c r="E77" s="719"/>
      <c r="F77" s="719"/>
    </row>
    <row r="78" spans="1:6" ht="31.5" customHeight="1" x14ac:dyDescent="0.25">
      <c r="A78" s="39"/>
      <c r="B78" s="719"/>
      <c r="C78" s="719"/>
      <c r="D78" s="719"/>
      <c r="E78" s="719"/>
      <c r="F78" s="719"/>
    </row>
    <row r="79" spans="1:6" ht="15.75" customHeight="1" x14ac:dyDescent="0.25">
      <c r="A79" s="39"/>
      <c r="B79" s="719"/>
      <c r="C79" s="719"/>
      <c r="D79" s="719"/>
      <c r="E79" s="719"/>
      <c r="F79" s="719"/>
    </row>
    <row r="80" spans="1:6" ht="15.75" customHeight="1" x14ac:dyDescent="0.25">
      <c r="A80" s="39"/>
      <c r="B80" s="719"/>
      <c r="C80" s="719"/>
      <c r="D80" s="719"/>
      <c r="E80" s="719"/>
      <c r="F80" s="719"/>
    </row>
    <row r="81" spans="1:6" ht="31.5" customHeight="1" x14ac:dyDescent="0.25">
      <c r="A81" s="39"/>
      <c r="B81" s="719"/>
      <c r="C81" s="719"/>
      <c r="D81" s="719"/>
      <c r="E81" s="719"/>
      <c r="F81" s="719"/>
    </row>
    <row r="82" spans="1:6" ht="15.75" customHeight="1" x14ac:dyDescent="0.25">
      <c r="A82" s="39"/>
      <c r="B82" s="719"/>
      <c r="C82" s="719"/>
      <c r="D82" s="719"/>
      <c r="E82" s="719"/>
      <c r="F82" s="719"/>
    </row>
    <row r="83" spans="1:6" ht="15.75" customHeight="1" x14ac:dyDescent="0.25">
      <c r="A83" s="39"/>
      <c r="B83" s="719"/>
      <c r="C83" s="719"/>
      <c r="D83" s="719"/>
      <c r="E83" s="719"/>
      <c r="F83" s="719"/>
    </row>
    <row r="84" spans="1:6" ht="15.75" customHeight="1" x14ac:dyDescent="0.25">
      <c r="A84" s="39"/>
      <c r="B84" s="719"/>
      <c r="C84" s="719"/>
      <c r="D84" s="719"/>
      <c r="E84" s="719"/>
      <c r="F84" s="719"/>
    </row>
    <row r="85" spans="1:6" ht="15.75" customHeight="1" x14ac:dyDescent="0.25">
      <c r="A85" s="39"/>
      <c r="B85" s="719"/>
      <c r="C85" s="719"/>
      <c r="D85" s="719"/>
      <c r="E85" s="719"/>
      <c r="F85" s="719"/>
    </row>
    <row r="86" spans="1:6" ht="15.75" customHeight="1" x14ac:dyDescent="0.25">
      <c r="A86" s="39"/>
      <c r="B86" s="719"/>
      <c r="C86" s="719"/>
      <c r="D86" s="719"/>
      <c r="E86" s="719"/>
      <c r="F86" s="719"/>
    </row>
    <row r="87" spans="1:6" ht="31.5" customHeight="1" x14ac:dyDescent="0.25">
      <c r="A87" s="39"/>
      <c r="B87" s="719"/>
      <c r="C87" s="719"/>
      <c r="D87" s="719"/>
      <c r="E87" s="719"/>
      <c r="F87" s="719"/>
    </row>
    <row r="88" spans="1:6" ht="31.5" customHeight="1" x14ac:dyDescent="0.25">
      <c r="A88" s="39"/>
      <c r="B88" s="719"/>
      <c r="C88" s="719"/>
      <c r="D88" s="719"/>
      <c r="E88" s="719"/>
      <c r="F88" s="719"/>
    </row>
    <row r="89" spans="1:6" ht="47.25" customHeight="1" x14ac:dyDescent="0.25">
      <c r="A89" s="39"/>
      <c r="B89" s="719"/>
      <c r="C89" s="719"/>
      <c r="D89" s="719"/>
      <c r="E89" s="719"/>
      <c r="F89" s="719"/>
    </row>
    <row r="90" spans="1:6" ht="16.5" customHeight="1" x14ac:dyDescent="0.25">
      <c r="A90" s="39"/>
      <c r="B90" s="719"/>
      <c r="C90" s="719"/>
      <c r="D90" s="719"/>
      <c r="E90" s="719"/>
      <c r="F90" s="719"/>
    </row>
    <row r="91" spans="1:6" ht="15" x14ac:dyDescent="0.25">
      <c r="A91" s="39"/>
      <c r="B91" s="719"/>
      <c r="C91" s="719"/>
      <c r="D91" s="719"/>
      <c r="E91" s="719"/>
      <c r="F91" s="719"/>
    </row>
    <row r="92" spans="1:6" ht="31.5" customHeight="1" x14ac:dyDescent="0.25">
      <c r="A92" s="39"/>
      <c r="B92" s="719"/>
      <c r="C92" s="719"/>
      <c r="D92" s="719"/>
      <c r="E92" s="719"/>
      <c r="F92" s="719"/>
    </row>
    <row r="93" spans="1:6" ht="31.5" customHeight="1" x14ac:dyDescent="0.25">
      <c r="A93" s="39"/>
      <c r="B93" s="719"/>
      <c r="C93" s="719"/>
      <c r="D93" s="719"/>
      <c r="E93" s="719"/>
      <c r="F93" s="719"/>
    </row>
    <row r="94" spans="1:6" ht="31.5" customHeight="1" x14ac:dyDescent="0.25">
      <c r="A94" s="39"/>
      <c r="B94" s="719"/>
      <c r="C94" s="719"/>
      <c r="D94" s="719"/>
      <c r="E94" s="719"/>
      <c r="F94" s="719"/>
    </row>
    <row r="95" spans="1:6" ht="34.5" customHeight="1" x14ac:dyDescent="0.25">
      <c r="A95" s="39"/>
      <c r="B95" s="719"/>
      <c r="C95" s="719"/>
      <c r="D95" s="719"/>
      <c r="E95" s="719"/>
      <c r="F95" s="719"/>
    </row>
    <row r="96" spans="1:6" ht="31.5" customHeight="1" x14ac:dyDescent="0.25">
      <c r="A96" s="39"/>
      <c r="B96" s="719"/>
      <c r="C96" s="719"/>
      <c r="D96" s="719"/>
      <c r="E96" s="719"/>
      <c r="F96" s="719"/>
    </row>
    <row r="97" spans="1:6" ht="150" customHeight="1" x14ac:dyDescent="0.25">
      <c r="A97" s="39"/>
      <c r="B97" s="719"/>
      <c r="C97" s="719"/>
      <c r="D97" s="719"/>
      <c r="E97" s="719"/>
      <c r="F97" s="719"/>
    </row>
    <row r="98" spans="1:6" ht="47.25" x14ac:dyDescent="0.25">
      <c r="A98" s="39"/>
      <c r="B98" s="5" t="s">
        <v>158</v>
      </c>
      <c r="C98" s="121"/>
      <c r="D98" s="33">
        <v>159599.4</v>
      </c>
      <c r="E98" s="33">
        <v>93600.17</v>
      </c>
      <c r="F98" s="96">
        <f>+D98-E98</f>
        <v>65999.23</v>
      </c>
    </row>
    <row r="99" spans="1:6" x14ac:dyDescent="0.25">
      <c r="A99" s="39"/>
      <c r="B99" s="5" t="s">
        <v>113</v>
      </c>
      <c r="C99" s="121"/>
      <c r="D99" s="33">
        <v>50000</v>
      </c>
      <c r="E99" s="33">
        <v>29091.06</v>
      </c>
      <c r="F99" s="96">
        <f>+D99-E99</f>
        <v>20908.939999999999</v>
      </c>
    </row>
    <row r="100" spans="1:6" x14ac:dyDescent="0.25">
      <c r="A100" s="226"/>
      <c r="B100" s="227" t="s">
        <v>159</v>
      </c>
      <c r="C100" s="228"/>
      <c r="D100" s="229">
        <f>+D63+D64+D76+D98+D99</f>
        <v>6293093.4000000004</v>
      </c>
      <c r="E100" s="229">
        <f>+E63+E64+E76+E98+E99</f>
        <v>5610081.54</v>
      </c>
      <c r="F100" s="230">
        <f>+D100-E100</f>
        <v>683011.86000000034</v>
      </c>
    </row>
    <row r="101" spans="1:6" x14ac:dyDescent="0.25">
      <c r="A101" s="39">
        <v>111142</v>
      </c>
      <c r="B101" s="64" t="s">
        <v>156</v>
      </c>
      <c r="C101" s="14"/>
      <c r="D101" s="33">
        <v>230400</v>
      </c>
      <c r="E101" s="33">
        <v>216800</v>
      </c>
      <c r="F101" s="30">
        <f>+D101-E101</f>
        <v>13600</v>
      </c>
    </row>
    <row r="102" spans="1:6" ht="52.5" customHeight="1" x14ac:dyDescent="0.25">
      <c r="A102" s="81"/>
      <c r="B102" s="718" t="s">
        <v>561</v>
      </c>
      <c r="C102" s="718"/>
      <c r="D102" s="718"/>
      <c r="E102" s="718"/>
      <c r="F102" s="718"/>
    </row>
    <row r="103" spans="1:6" ht="19.5" customHeight="1" x14ac:dyDescent="0.25">
      <c r="A103" s="224"/>
      <c r="B103" s="224" t="s">
        <v>149</v>
      </c>
      <c r="C103" s="224"/>
      <c r="D103" s="225">
        <f>D61+D100+D101</f>
        <v>15513267.4</v>
      </c>
      <c r="E103" s="225">
        <f>E61+E100+E101</f>
        <v>14572250.219999999</v>
      </c>
      <c r="F103" s="225">
        <f>F61+F100+F101</f>
        <v>941017.18000000063</v>
      </c>
    </row>
    <row r="104" spans="1:6" x14ac:dyDescent="0.25">
      <c r="A104" s="715" t="s">
        <v>17</v>
      </c>
      <c r="B104" s="715"/>
      <c r="C104" s="715"/>
      <c r="D104" s="715"/>
      <c r="E104" s="715"/>
      <c r="F104" s="715"/>
    </row>
    <row r="105" spans="1:6" x14ac:dyDescent="0.25">
      <c r="A105" s="80">
        <v>111010</v>
      </c>
      <c r="B105" s="14" t="s">
        <v>82</v>
      </c>
      <c r="C105" s="14"/>
      <c r="D105" s="29">
        <v>439608.22</v>
      </c>
      <c r="E105" s="29">
        <v>432220.78</v>
      </c>
      <c r="F105" s="29">
        <f t="shared" ref="F105:F129" si="3">D105-E105</f>
        <v>7387.4399999999441</v>
      </c>
    </row>
    <row r="106" spans="1:6" x14ac:dyDescent="0.25">
      <c r="A106" s="80"/>
      <c r="B106" s="14" t="s">
        <v>83</v>
      </c>
      <c r="C106" s="14"/>
      <c r="D106" s="29">
        <v>546642.27</v>
      </c>
      <c r="E106" s="29">
        <v>529044.55000000005</v>
      </c>
      <c r="F106" s="29">
        <f t="shared" si="3"/>
        <v>17597.719999999972</v>
      </c>
    </row>
    <row r="107" spans="1:6" x14ac:dyDescent="0.25">
      <c r="A107" s="78"/>
      <c r="B107" s="21" t="s">
        <v>84</v>
      </c>
      <c r="C107" s="14"/>
      <c r="D107" s="29">
        <v>1113473.26</v>
      </c>
      <c r="E107" s="29">
        <v>1113473.26</v>
      </c>
      <c r="F107" s="29">
        <f t="shared" si="3"/>
        <v>0</v>
      </c>
    </row>
    <row r="108" spans="1:6" ht="36" customHeight="1" x14ac:dyDescent="0.25">
      <c r="A108" s="78"/>
      <c r="B108" s="21" t="s">
        <v>562</v>
      </c>
      <c r="C108" s="14"/>
      <c r="D108" s="29">
        <v>188000</v>
      </c>
      <c r="E108" s="29">
        <v>188000</v>
      </c>
      <c r="F108" s="29">
        <f t="shared" si="3"/>
        <v>0</v>
      </c>
    </row>
    <row r="109" spans="1:6" ht="47.25" x14ac:dyDescent="0.25">
      <c r="A109" s="78"/>
      <c r="B109" s="21" t="s">
        <v>563</v>
      </c>
      <c r="C109" s="14"/>
      <c r="D109" s="29">
        <v>99900</v>
      </c>
      <c r="E109" s="29">
        <v>99900</v>
      </c>
      <c r="F109" s="29">
        <f t="shared" si="3"/>
        <v>0</v>
      </c>
    </row>
    <row r="110" spans="1:6" ht="31.5" x14ac:dyDescent="0.25">
      <c r="A110" s="78"/>
      <c r="B110" s="21" t="s">
        <v>564</v>
      </c>
      <c r="C110" s="14"/>
      <c r="D110" s="29">
        <v>99900</v>
      </c>
      <c r="E110" s="29">
        <v>99900</v>
      </c>
      <c r="F110" s="29">
        <f t="shared" si="3"/>
        <v>0</v>
      </c>
    </row>
    <row r="111" spans="1:6" ht="31.5" x14ac:dyDescent="0.25">
      <c r="A111" s="78"/>
      <c r="B111" s="21" t="s">
        <v>565</v>
      </c>
      <c r="C111" s="14"/>
      <c r="D111" s="29">
        <v>69000</v>
      </c>
      <c r="E111" s="29">
        <v>69000</v>
      </c>
      <c r="F111" s="29">
        <f t="shared" si="3"/>
        <v>0</v>
      </c>
    </row>
    <row r="112" spans="1:6" ht="94.5" x14ac:dyDescent="0.25">
      <c r="A112" s="78"/>
      <c r="B112" s="21" t="s">
        <v>566</v>
      </c>
      <c r="C112" s="14"/>
      <c r="D112" s="29">
        <v>99000</v>
      </c>
      <c r="E112" s="29">
        <v>98216.21</v>
      </c>
      <c r="F112" s="29">
        <f t="shared" si="3"/>
        <v>783.7899999999936</v>
      </c>
    </row>
    <row r="113" spans="1:6" ht="47.25" x14ac:dyDescent="0.25">
      <c r="A113" s="78"/>
      <c r="B113" s="21" t="s">
        <v>567</v>
      </c>
      <c r="C113" s="14"/>
      <c r="D113" s="29">
        <v>0</v>
      </c>
      <c r="E113" s="29">
        <v>0</v>
      </c>
      <c r="F113" s="29">
        <f t="shared" si="3"/>
        <v>0</v>
      </c>
    </row>
    <row r="114" spans="1:6" ht="47.25" x14ac:dyDescent="0.25">
      <c r="A114" s="78"/>
      <c r="B114" s="21" t="s">
        <v>568</v>
      </c>
      <c r="C114" s="14"/>
      <c r="D114" s="29">
        <v>74400</v>
      </c>
      <c r="E114" s="29">
        <v>74400</v>
      </c>
      <c r="F114" s="29">
        <f t="shared" si="3"/>
        <v>0</v>
      </c>
    </row>
    <row r="115" spans="1:6" ht="47.25" x14ac:dyDescent="0.25">
      <c r="A115" s="78"/>
      <c r="B115" s="21" t="s">
        <v>574</v>
      </c>
      <c r="C115" s="14"/>
      <c r="D115" s="29">
        <v>98000</v>
      </c>
      <c r="E115" s="29">
        <v>98000</v>
      </c>
      <c r="F115" s="29">
        <f t="shared" si="3"/>
        <v>0</v>
      </c>
    </row>
    <row r="116" spans="1:6" ht="31.5" x14ac:dyDescent="0.25">
      <c r="A116" s="78"/>
      <c r="B116" s="21" t="s">
        <v>569</v>
      </c>
      <c r="C116" s="14"/>
      <c r="D116" s="29">
        <v>245950</v>
      </c>
      <c r="E116" s="29">
        <v>245950</v>
      </c>
      <c r="F116" s="29">
        <f t="shared" si="3"/>
        <v>0</v>
      </c>
    </row>
    <row r="117" spans="1:6" ht="47.25" x14ac:dyDescent="0.25">
      <c r="A117" s="78"/>
      <c r="B117" s="21" t="s">
        <v>570</v>
      </c>
      <c r="C117" s="14"/>
      <c r="D117" s="29">
        <v>272760</v>
      </c>
      <c r="E117" s="29">
        <v>271800</v>
      </c>
      <c r="F117" s="29">
        <f t="shared" si="3"/>
        <v>960</v>
      </c>
    </row>
    <row r="118" spans="1:6" ht="31.5" x14ac:dyDescent="0.25">
      <c r="A118" s="78"/>
      <c r="B118" s="21" t="s">
        <v>571</v>
      </c>
      <c r="C118" s="14"/>
      <c r="D118" s="29">
        <v>140000</v>
      </c>
      <c r="E118" s="29">
        <v>133800</v>
      </c>
      <c r="F118" s="29">
        <f t="shared" si="3"/>
        <v>6200</v>
      </c>
    </row>
    <row r="119" spans="1:6" ht="47.25" x14ac:dyDescent="0.25">
      <c r="A119" s="78"/>
      <c r="B119" s="21" t="s">
        <v>572</v>
      </c>
      <c r="C119" s="14"/>
      <c r="D119" s="29">
        <v>170000</v>
      </c>
      <c r="E119" s="29">
        <v>170000</v>
      </c>
      <c r="F119" s="29">
        <f t="shared" si="3"/>
        <v>0</v>
      </c>
    </row>
    <row r="120" spans="1:6" ht="47.25" x14ac:dyDescent="0.25">
      <c r="A120" s="78"/>
      <c r="B120" s="21" t="s">
        <v>573</v>
      </c>
      <c r="C120" s="14"/>
      <c r="D120" s="29">
        <v>25000</v>
      </c>
      <c r="E120" s="29">
        <v>21600</v>
      </c>
      <c r="F120" s="29">
        <f t="shared" si="3"/>
        <v>3400</v>
      </c>
    </row>
    <row r="121" spans="1:6" hidden="1" x14ac:dyDescent="0.25">
      <c r="A121" s="78"/>
      <c r="B121" s="21"/>
      <c r="C121" s="14"/>
      <c r="D121" s="29"/>
      <c r="E121" s="29"/>
      <c r="F121" s="29">
        <f t="shared" si="3"/>
        <v>0</v>
      </c>
    </row>
    <row r="122" spans="1:6" hidden="1" x14ac:dyDescent="0.25">
      <c r="A122" s="78"/>
      <c r="B122" s="21"/>
      <c r="C122" s="14"/>
      <c r="D122" s="29"/>
      <c r="E122" s="29"/>
      <c r="F122" s="29">
        <f t="shared" si="3"/>
        <v>0</v>
      </c>
    </row>
    <row r="123" spans="1:6" x14ac:dyDescent="0.25">
      <c r="A123" s="78"/>
      <c r="B123" s="228" t="s">
        <v>152</v>
      </c>
      <c r="C123" s="14"/>
      <c r="D123" s="33">
        <f>SUM(D105:D122)</f>
        <v>3681633.75</v>
      </c>
      <c r="E123" s="33">
        <f>SUM(E105:E122)</f>
        <v>3645304.8</v>
      </c>
      <c r="F123" s="33">
        <f t="shared" si="3"/>
        <v>36328.950000000186</v>
      </c>
    </row>
    <row r="124" spans="1:6" ht="47.25" x14ac:dyDescent="0.25">
      <c r="A124" s="78">
        <v>111021</v>
      </c>
      <c r="B124" s="21" t="s">
        <v>575</v>
      </c>
      <c r="C124" s="14"/>
      <c r="D124" s="29">
        <v>25000</v>
      </c>
      <c r="E124" s="29">
        <v>25000</v>
      </c>
      <c r="F124" s="29">
        <f t="shared" si="3"/>
        <v>0</v>
      </c>
    </row>
    <row r="125" spans="1:6" ht="47.25" x14ac:dyDescent="0.25">
      <c r="A125" s="78"/>
      <c r="B125" s="3" t="s">
        <v>576</v>
      </c>
      <c r="C125" s="14"/>
      <c r="D125" s="29">
        <v>80000</v>
      </c>
      <c r="E125" s="29">
        <v>79200</v>
      </c>
      <c r="F125" s="29">
        <f t="shared" si="3"/>
        <v>800</v>
      </c>
    </row>
    <row r="126" spans="1:6" ht="47.25" x14ac:dyDescent="0.25">
      <c r="A126" s="78"/>
      <c r="B126" s="3" t="s">
        <v>577</v>
      </c>
      <c r="C126" s="14"/>
      <c r="D126" s="29">
        <v>25075</v>
      </c>
      <c r="E126" s="29">
        <v>25074.6</v>
      </c>
      <c r="F126" s="29">
        <f t="shared" si="3"/>
        <v>0.40000000000145519</v>
      </c>
    </row>
    <row r="127" spans="1:6" ht="35.25" customHeight="1" x14ac:dyDescent="0.25">
      <c r="A127" s="78"/>
      <c r="B127" s="3" t="s">
        <v>578</v>
      </c>
      <c r="C127" s="14"/>
      <c r="D127" s="29">
        <v>95000</v>
      </c>
      <c r="E127" s="29">
        <v>95000</v>
      </c>
      <c r="F127" s="29">
        <f t="shared" si="3"/>
        <v>0</v>
      </c>
    </row>
    <row r="128" spans="1:6" ht="31.5" x14ac:dyDescent="0.25">
      <c r="A128" s="78"/>
      <c r="B128" s="3" t="s">
        <v>579</v>
      </c>
      <c r="C128" s="14"/>
      <c r="D128" s="29">
        <v>99800</v>
      </c>
      <c r="E128" s="29">
        <v>91110</v>
      </c>
      <c r="F128" s="29">
        <f t="shared" si="3"/>
        <v>8690</v>
      </c>
    </row>
    <row r="129" spans="1:6" x14ac:dyDescent="0.25">
      <c r="A129" s="78"/>
      <c r="B129" s="185" t="s">
        <v>36</v>
      </c>
      <c r="C129" s="14"/>
      <c r="D129" s="33">
        <f>SUM(D124:D128)</f>
        <v>324875</v>
      </c>
      <c r="E129" s="33">
        <f>SUM(E124:E128)</f>
        <v>315384.59999999998</v>
      </c>
      <c r="F129" s="33">
        <f t="shared" si="3"/>
        <v>9490.4000000000233</v>
      </c>
    </row>
    <row r="130" spans="1:6" x14ac:dyDescent="0.25">
      <c r="A130" s="285"/>
      <c r="B130" s="712" t="s">
        <v>18</v>
      </c>
      <c r="C130" s="712"/>
      <c r="D130" s="286">
        <f>+D123+D129</f>
        <v>4006508.75</v>
      </c>
      <c r="E130" s="286">
        <f>+E123+E129</f>
        <v>3960689.4</v>
      </c>
      <c r="F130" s="286">
        <f>+F123+F129</f>
        <v>45819.35000000021</v>
      </c>
    </row>
    <row r="131" spans="1:6" x14ac:dyDescent="0.25">
      <c r="A131" s="285"/>
      <c r="B131" s="287" t="s">
        <v>121</v>
      </c>
      <c r="C131" s="287"/>
      <c r="D131" s="286">
        <f>D103+D130</f>
        <v>19519776.149999999</v>
      </c>
      <c r="E131" s="286">
        <f t="shared" ref="E131:F131" si="4">E103+E130</f>
        <v>18532939.619999997</v>
      </c>
      <c r="F131" s="286">
        <f t="shared" si="4"/>
        <v>986836.53000000084</v>
      </c>
    </row>
    <row r="132" spans="1:6" x14ac:dyDescent="0.25">
      <c r="A132" s="39"/>
      <c r="B132" s="221" t="s">
        <v>35</v>
      </c>
      <c r="C132" s="64"/>
      <c r="D132" s="65"/>
      <c r="E132" s="65">
        <f>E131/D131*100</f>
        <v>94.944427013831302</v>
      </c>
      <c r="F132" s="65" t="s">
        <v>34</v>
      </c>
    </row>
    <row r="133" spans="1:6" ht="53.25" customHeight="1" x14ac:dyDescent="0.25">
      <c r="A133" s="716" t="s">
        <v>169</v>
      </c>
      <c r="B133" s="716"/>
      <c r="C133" s="716"/>
      <c r="D133" s="716"/>
      <c r="E133" s="716"/>
      <c r="F133" s="716"/>
    </row>
    <row r="134" spans="1:6" ht="18.75" customHeight="1" x14ac:dyDescent="0.25">
      <c r="B134" s="646"/>
      <c r="C134" s="646"/>
      <c r="D134" s="646"/>
      <c r="E134" s="646"/>
      <c r="F134" s="646"/>
    </row>
    <row r="135" spans="1:6" x14ac:dyDescent="0.25">
      <c r="A135" t="s">
        <v>173</v>
      </c>
      <c r="D135" s="301"/>
      <c r="E135" s="302" t="s">
        <v>174</v>
      </c>
      <c r="F135" s="117" t="s">
        <v>175</v>
      </c>
    </row>
  </sheetData>
  <mergeCells count="14">
    <mergeCell ref="B130:C130"/>
    <mergeCell ref="B134:F134"/>
    <mergeCell ref="A6:F7"/>
    <mergeCell ref="A4:F4"/>
    <mergeCell ref="A5:F5"/>
    <mergeCell ref="B12:F12"/>
    <mergeCell ref="A104:F104"/>
    <mergeCell ref="A133:F133"/>
    <mergeCell ref="B17:F31"/>
    <mergeCell ref="B34:F54"/>
    <mergeCell ref="B65:F75"/>
    <mergeCell ref="B77:F97"/>
    <mergeCell ref="B102:F102"/>
    <mergeCell ref="B32:F32"/>
  </mergeCells>
  <pageMargins left="0.39370078740157483" right="0.39370078740157483" top="0.74803149606299213" bottom="0.74803149606299213" header="0.31496062992125984" footer="0.31496062992125984"/>
  <pageSetup paperSize="9" scale="90" fitToHeight="1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4"/>
  <sheetViews>
    <sheetView view="pageBreakPreview" zoomScale="60" zoomScaleNormal="100" workbookViewId="0">
      <selection activeCell="A5" sqref="A5:E5"/>
    </sheetView>
  </sheetViews>
  <sheetFormatPr defaultRowHeight="15.75" x14ac:dyDescent="0.25"/>
  <cols>
    <col min="1" max="1" width="7.140625" customWidth="1"/>
    <col min="2" max="2" width="40.140625" style="15" customWidth="1"/>
    <col min="3" max="3" width="16.7109375" style="15" customWidth="1"/>
    <col min="4" max="4" width="16.140625" style="24" customWidth="1"/>
    <col min="5" max="5" width="16" style="15" customWidth="1"/>
    <col min="6" max="6" width="10" bestFit="1" customWidth="1"/>
  </cols>
  <sheetData>
    <row r="1" spans="1:5" x14ac:dyDescent="0.25">
      <c r="D1" s="631" t="s">
        <v>602</v>
      </c>
      <c r="E1" s="631"/>
    </row>
    <row r="2" spans="1:5" x14ac:dyDescent="0.25">
      <c r="D2" t="s">
        <v>171</v>
      </c>
      <c r="E2" s="1"/>
    </row>
    <row r="3" spans="1:5" x14ac:dyDescent="0.25">
      <c r="B3" s="1"/>
      <c r="C3" s="1"/>
      <c r="D3" t="s">
        <v>586</v>
      </c>
      <c r="E3" s="1"/>
    </row>
    <row r="4" spans="1:5" x14ac:dyDescent="0.25">
      <c r="A4" s="633" t="s">
        <v>122</v>
      </c>
      <c r="B4" s="633"/>
      <c r="C4" s="633"/>
      <c r="D4" s="633"/>
      <c r="E4" s="633"/>
    </row>
    <row r="5" spans="1:5" ht="37.5" customHeight="1" x14ac:dyDescent="0.25">
      <c r="A5" s="737" t="s">
        <v>461</v>
      </c>
      <c r="B5" s="737"/>
      <c r="C5" s="737"/>
      <c r="D5" s="737"/>
      <c r="E5" s="737"/>
    </row>
    <row r="6" spans="1:5" ht="302.25" customHeight="1" x14ac:dyDescent="0.25">
      <c r="A6" s="624" t="s">
        <v>462</v>
      </c>
      <c r="B6" s="624"/>
      <c r="C6" s="624"/>
      <c r="D6" s="624"/>
      <c r="E6" s="624"/>
    </row>
    <row r="7" spans="1:5" x14ac:dyDescent="0.25">
      <c r="A7" s="47" t="s">
        <v>283</v>
      </c>
      <c r="B7" s="47"/>
      <c r="C7" s="47"/>
      <c r="D7" s="340">
        <f>+C8+C9</f>
        <v>114429.96</v>
      </c>
      <c r="E7" s="93" t="s">
        <v>32</v>
      </c>
    </row>
    <row r="8" spans="1:5" x14ac:dyDescent="0.25">
      <c r="B8" s="619" t="s">
        <v>28</v>
      </c>
      <c r="C8" s="53">
        <f>D30</f>
        <v>84429.96</v>
      </c>
      <c r="D8" s="93" t="s">
        <v>32</v>
      </c>
      <c r="E8" s="619"/>
    </row>
    <row r="9" spans="1:5" x14ac:dyDescent="0.25">
      <c r="B9" s="619" t="s">
        <v>29</v>
      </c>
      <c r="C9" s="53">
        <f>+C33</f>
        <v>30000</v>
      </c>
      <c r="D9" s="93" t="s">
        <v>32</v>
      </c>
      <c r="E9" s="619"/>
    </row>
    <row r="10" spans="1:5" s="11" customFormat="1" ht="30.75" customHeight="1" x14ac:dyDescent="0.25">
      <c r="A10" s="95" t="s">
        <v>22</v>
      </c>
      <c r="B10" s="10" t="s">
        <v>30</v>
      </c>
      <c r="C10" s="10" t="s">
        <v>1</v>
      </c>
      <c r="D10" s="109" t="s">
        <v>11</v>
      </c>
      <c r="E10" s="10" t="s">
        <v>5</v>
      </c>
    </row>
    <row r="11" spans="1:5" x14ac:dyDescent="0.25">
      <c r="B11" s="653" t="s">
        <v>16</v>
      </c>
      <c r="C11" s="654"/>
      <c r="D11" s="654"/>
      <c r="E11" s="655"/>
    </row>
    <row r="12" spans="1:5" ht="15.75" hidden="1" customHeight="1" x14ac:dyDescent="0.25">
      <c r="B12" s="3" t="s">
        <v>14</v>
      </c>
      <c r="C12" s="337">
        <v>3077631</v>
      </c>
      <c r="D12" s="337">
        <v>3076121.63</v>
      </c>
      <c r="E12" s="6">
        <f>C12-D12</f>
        <v>1509.3700000001118</v>
      </c>
    </row>
    <row r="13" spans="1:5" ht="15.75" hidden="1" customHeight="1" x14ac:dyDescent="0.25">
      <c r="A13" s="39"/>
      <c r="B13" s="3" t="s">
        <v>64</v>
      </c>
      <c r="C13" s="337">
        <v>677074</v>
      </c>
      <c r="D13" s="337">
        <v>666139.79</v>
      </c>
      <c r="E13" s="6">
        <f t="shared" ref="E13:E29" si="0">C13-D13</f>
        <v>10934.209999999963</v>
      </c>
    </row>
    <row r="14" spans="1:5" ht="15.75" hidden="1" customHeight="1" x14ac:dyDescent="0.25">
      <c r="A14" s="39"/>
      <c r="B14" s="3" t="s">
        <v>95</v>
      </c>
      <c r="C14" s="96">
        <f>C12+C13</f>
        <v>3754705</v>
      </c>
      <c r="D14" s="96">
        <f t="shared" ref="D14:E14" si="1">D12+D13</f>
        <v>3742261.42</v>
      </c>
      <c r="E14" s="96">
        <f t="shared" si="1"/>
        <v>12443.580000000075</v>
      </c>
    </row>
    <row r="15" spans="1:5" ht="31.5" x14ac:dyDescent="0.25">
      <c r="A15" s="81">
        <v>114081</v>
      </c>
      <c r="B15" s="5" t="s">
        <v>138</v>
      </c>
      <c r="C15" s="336">
        <v>90200</v>
      </c>
      <c r="D15" s="337">
        <v>77519.960000000006</v>
      </c>
      <c r="E15" s="6">
        <f>+C15-D15</f>
        <v>12680.039999999994</v>
      </c>
    </row>
    <row r="16" spans="1:5" ht="15.75" customHeight="1" x14ac:dyDescent="0.25">
      <c r="A16" s="728" t="s">
        <v>465</v>
      </c>
      <c r="B16" s="729"/>
      <c r="C16" s="729"/>
      <c r="D16" s="729"/>
      <c r="E16" s="730"/>
    </row>
    <row r="17" spans="1:6" ht="15.75" customHeight="1" x14ac:dyDescent="0.25">
      <c r="A17" s="731"/>
      <c r="B17" s="732"/>
      <c r="C17" s="732"/>
      <c r="D17" s="732"/>
      <c r="E17" s="733"/>
    </row>
    <row r="18" spans="1:6" ht="6" customHeight="1" x14ac:dyDescent="0.25">
      <c r="A18" s="731"/>
      <c r="B18" s="732"/>
      <c r="C18" s="732"/>
      <c r="D18" s="732"/>
      <c r="E18" s="733"/>
    </row>
    <row r="19" spans="1:6" ht="44.25" hidden="1" customHeight="1" x14ac:dyDescent="0.25">
      <c r="A19" s="734"/>
      <c r="B19" s="735"/>
      <c r="C19" s="735"/>
      <c r="D19" s="735"/>
      <c r="E19" s="736"/>
    </row>
    <row r="20" spans="1:6" x14ac:dyDescent="0.25">
      <c r="A20" s="39"/>
      <c r="B20" s="120" t="s">
        <v>97</v>
      </c>
      <c r="C20" s="96">
        <f>+C15</f>
        <v>90200</v>
      </c>
      <c r="D20" s="96">
        <f>SUM(D15:D19)</f>
        <v>77519.960000000006</v>
      </c>
      <c r="E20" s="96">
        <f>C20-D20</f>
        <v>12680.039999999994</v>
      </c>
    </row>
    <row r="21" spans="1:6" x14ac:dyDescent="0.25">
      <c r="A21" s="39"/>
      <c r="B21" s="120"/>
      <c r="C21" s="336"/>
      <c r="D21" s="337"/>
      <c r="E21" s="6"/>
    </row>
    <row r="22" spans="1:6" x14ac:dyDescent="0.25">
      <c r="A22" s="39"/>
      <c r="B22" s="120" t="s">
        <v>194</v>
      </c>
      <c r="C22" s="336">
        <v>6910</v>
      </c>
      <c r="D22" s="337">
        <v>6910</v>
      </c>
      <c r="E22" s="6"/>
    </row>
    <row r="23" spans="1:6" ht="15.75" customHeight="1" x14ac:dyDescent="0.25">
      <c r="A23" s="677" t="s">
        <v>463</v>
      </c>
      <c r="B23" s="678"/>
      <c r="C23" s="678"/>
      <c r="D23" s="678"/>
      <c r="E23" s="679"/>
    </row>
    <row r="24" spans="1:6" ht="9" customHeight="1" x14ac:dyDescent="0.25">
      <c r="A24" s="680"/>
      <c r="B24" s="681"/>
      <c r="C24" s="681"/>
      <c r="D24" s="681"/>
      <c r="E24" s="682"/>
    </row>
    <row r="25" spans="1:6" ht="31.5" hidden="1" customHeight="1" x14ac:dyDescent="0.25">
      <c r="A25" s="680"/>
      <c r="B25" s="681"/>
      <c r="C25" s="681"/>
      <c r="D25" s="681"/>
      <c r="E25" s="682"/>
    </row>
    <row r="26" spans="1:6" ht="31.5" hidden="1" customHeight="1" x14ac:dyDescent="0.25">
      <c r="A26" s="680"/>
      <c r="B26" s="681"/>
      <c r="C26" s="681"/>
      <c r="D26" s="681"/>
      <c r="E26" s="682"/>
    </row>
    <row r="27" spans="1:6" ht="9.75" hidden="1" customHeight="1" x14ac:dyDescent="0.25">
      <c r="A27" s="683"/>
      <c r="B27" s="684"/>
      <c r="C27" s="684"/>
      <c r="D27" s="684"/>
      <c r="E27" s="685"/>
    </row>
    <row r="28" spans="1:6" x14ac:dyDescent="0.25">
      <c r="A28" s="39"/>
      <c r="B28" s="120" t="s">
        <v>139</v>
      </c>
      <c r="C28" s="96">
        <f>+C22</f>
        <v>6910</v>
      </c>
      <c r="D28" s="96">
        <f>SUM(D22:D27)</f>
        <v>6910</v>
      </c>
      <c r="E28" s="96">
        <f>C28-D28</f>
        <v>0</v>
      </c>
    </row>
    <row r="29" spans="1:6" ht="31.5" x14ac:dyDescent="0.25">
      <c r="A29" s="39"/>
      <c r="B29" s="3" t="s">
        <v>307</v>
      </c>
      <c r="C29" s="337"/>
      <c r="D29" s="337"/>
      <c r="E29" s="6">
        <f t="shared" si="0"/>
        <v>0</v>
      </c>
      <c r="F29" s="102"/>
    </row>
    <row r="30" spans="1:6" x14ac:dyDescent="0.25">
      <c r="A30" s="39"/>
      <c r="B30" s="120" t="s">
        <v>141</v>
      </c>
      <c r="C30" s="33">
        <f>C20+C28+C29</f>
        <v>97110</v>
      </c>
      <c r="D30" s="33">
        <f>D20+D28+D29</f>
        <v>84429.96</v>
      </c>
      <c r="E30" s="33">
        <f>E20+E28+E29</f>
        <v>12680.039999999994</v>
      </c>
    </row>
    <row r="31" spans="1:6" ht="15.75" customHeight="1" x14ac:dyDescent="0.25">
      <c r="A31" s="39"/>
      <c r="B31" s="618" t="s">
        <v>35</v>
      </c>
      <c r="C31" s="63"/>
      <c r="D31" s="65">
        <f>D30/C30*100</f>
        <v>86.942601173926477</v>
      </c>
      <c r="E31" s="64" t="s">
        <v>34</v>
      </c>
    </row>
    <row r="32" spans="1:6" x14ac:dyDescent="0.25">
      <c r="A32" s="59">
        <v>114081</v>
      </c>
      <c r="B32" s="620" t="s">
        <v>17</v>
      </c>
      <c r="C32" s="620"/>
      <c r="D32" s="620"/>
      <c r="E32" s="621"/>
    </row>
    <row r="33" spans="1:6" ht="31.5" x14ac:dyDescent="0.25">
      <c r="A33" s="78"/>
      <c r="B33" s="74" t="s">
        <v>195</v>
      </c>
      <c r="C33" s="29">
        <v>30000</v>
      </c>
      <c r="D33" s="29">
        <v>30000</v>
      </c>
      <c r="E33" s="29">
        <f t="shared" ref="E33" si="2">+C33-D33</f>
        <v>0</v>
      </c>
    </row>
    <row r="34" spans="1:6" ht="26.25" customHeight="1" x14ac:dyDescent="0.25">
      <c r="A34" s="723" t="s">
        <v>464</v>
      </c>
      <c r="B34" s="724"/>
      <c r="C34" s="724"/>
      <c r="D34" s="724"/>
      <c r="E34" s="725"/>
    </row>
    <row r="35" spans="1:6" x14ac:dyDescent="0.25">
      <c r="A35" s="78"/>
      <c r="B35" s="236" t="s">
        <v>18</v>
      </c>
      <c r="C35" s="85">
        <f>SUM(C33:C33)</f>
        <v>30000</v>
      </c>
      <c r="D35" s="85">
        <f>SUM(D33:D33)</f>
        <v>30000</v>
      </c>
      <c r="E35" s="85">
        <f>+C35-D35</f>
        <v>0</v>
      </c>
    </row>
    <row r="36" spans="1:6" x14ac:dyDescent="0.25">
      <c r="A36" s="78"/>
      <c r="B36" s="221" t="s">
        <v>35</v>
      </c>
      <c r="C36" s="64"/>
      <c r="D36" s="66">
        <f>D35/C35*100</f>
        <v>100</v>
      </c>
      <c r="E36" s="64" t="s">
        <v>34</v>
      </c>
    </row>
    <row r="37" spans="1:6" x14ac:dyDescent="0.25">
      <c r="A37" s="726" t="s">
        <v>121</v>
      </c>
      <c r="B37" s="727"/>
      <c r="C37" s="137">
        <f>+C30+C35</f>
        <v>127110</v>
      </c>
      <c r="D37" s="137">
        <f>+D30+D35</f>
        <v>114429.96</v>
      </c>
      <c r="E37" s="137">
        <f>+E30+E35</f>
        <v>12680.039999999994</v>
      </c>
    </row>
    <row r="38" spans="1:6" ht="15" customHeight="1" x14ac:dyDescent="0.25">
      <c r="A38" s="653" t="s">
        <v>35</v>
      </c>
      <c r="B38" s="655"/>
      <c r="C38" s="623"/>
      <c r="D38" s="606">
        <f>+D37/C37*100</f>
        <v>90.024356856266223</v>
      </c>
      <c r="E38" s="623"/>
    </row>
    <row r="39" spans="1:6" ht="15" customHeight="1" x14ac:dyDescent="0.25">
      <c r="A39" s="604"/>
      <c r="B39" s="604"/>
      <c r="C39" s="605"/>
      <c r="D39" s="605"/>
      <c r="E39" s="605"/>
    </row>
    <row r="40" spans="1:6" ht="53.25" customHeight="1" x14ac:dyDescent="0.25">
      <c r="A40" s="624" t="s">
        <v>140</v>
      </c>
      <c r="B40" s="624"/>
      <c r="C40" s="624"/>
      <c r="D40" s="624"/>
      <c r="E40" s="624"/>
    </row>
    <row r="42" spans="1:6" x14ac:dyDescent="0.25">
      <c r="C42" s="296"/>
      <c r="D42" s="297" t="s">
        <v>174</v>
      </c>
      <c r="E42" s="15" t="s">
        <v>175</v>
      </c>
    </row>
    <row r="43" spans="1:6" ht="15" x14ac:dyDescent="0.25">
      <c r="A43" t="s">
        <v>173</v>
      </c>
      <c r="B43" s="622"/>
      <c r="C43" s="622"/>
      <c r="D43" s="622"/>
      <c r="E43" s="622"/>
    </row>
    <row r="44" spans="1:6" ht="54.75" customHeight="1" x14ac:dyDescent="0.25">
      <c r="F44" s="532"/>
    </row>
  </sheetData>
  <mergeCells count="11">
    <mergeCell ref="A16:E19"/>
    <mergeCell ref="D1:E1"/>
    <mergeCell ref="A4:E4"/>
    <mergeCell ref="A5:E5"/>
    <mergeCell ref="A6:E6"/>
    <mergeCell ref="B11:E11"/>
    <mergeCell ref="A23:E27"/>
    <mergeCell ref="A34:E34"/>
    <mergeCell ref="A40:E40"/>
    <mergeCell ref="A37:B37"/>
    <mergeCell ref="A38:B38"/>
  </mergeCells>
  <pageMargins left="0.7" right="0.7" top="0.75" bottom="0.75" header="0.3" footer="0.3"/>
  <pageSetup paperSize="9" scale="7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48"/>
  <sheetViews>
    <sheetView workbookViewId="0">
      <selection activeCell="H19" sqref="H19"/>
    </sheetView>
  </sheetViews>
  <sheetFormatPr defaultRowHeight="15.75" x14ac:dyDescent="0.25"/>
  <cols>
    <col min="1" max="1" width="59.5703125" style="15" customWidth="1"/>
    <col min="2" max="2" width="16.42578125" style="15" customWidth="1"/>
    <col min="3" max="3" width="18.28515625" style="24" customWidth="1"/>
    <col min="4" max="4" width="14.42578125" style="15" customWidth="1"/>
    <col min="5" max="5" width="29.7109375" customWidth="1"/>
    <col min="6" max="6" width="13" customWidth="1"/>
  </cols>
  <sheetData>
    <row r="1" spans="1:5" x14ac:dyDescent="0.25">
      <c r="C1" s="1" t="s">
        <v>603</v>
      </c>
      <c r="D1"/>
    </row>
    <row r="2" spans="1:5" x14ac:dyDescent="0.25">
      <c r="C2" t="s">
        <v>171</v>
      </c>
      <c r="D2" s="1"/>
    </row>
    <row r="3" spans="1:5" x14ac:dyDescent="0.25">
      <c r="A3" s="1"/>
      <c r="B3" s="1"/>
      <c r="C3" t="s">
        <v>586</v>
      </c>
      <c r="D3" s="1"/>
    </row>
    <row r="4" spans="1:5" x14ac:dyDescent="0.25">
      <c r="A4" s="737" t="s">
        <v>146</v>
      </c>
      <c r="B4" s="737"/>
      <c r="C4" s="737"/>
      <c r="D4" s="737"/>
    </row>
    <row r="5" spans="1:5" x14ac:dyDescent="0.25">
      <c r="A5" s="737" t="s">
        <v>325</v>
      </c>
      <c r="B5" s="737"/>
      <c r="C5" s="737"/>
      <c r="D5" s="737"/>
    </row>
    <row r="6" spans="1:5" ht="144.75" customHeight="1" x14ac:dyDescent="0.25">
      <c r="A6" s="647" t="s">
        <v>326</v>
      </c>
      <c r="B6" s="647"/>
      <c r="C6" s="647"/>
      <c r="D6" s="647"/>
      <c r="E6" s="220"/>
    </row>
    <row r="7" spans="1:5" x14ac:dyDescent="0.25">
      <c r="A7" s="47" t="s">
        <v>327</v>
      </c>
      <c r="B7" s="53">
        <f>+B8+B9</f>
        <v>1535863.2100000002</v>
      </c>
      <c r="C7" s="93" t="s">
        <v>32</v>
      </c>
      <c r="D7" s="47"/>
    </row>
    <row r="8" spans="1:5" x14ac:dyDescent="0.25">
      <c r="A8" s="110" t="s">
        <v>28</v>
      </c>
      <c r="B8" s="53">
        <f>C37</f>
        <v>1133027.2100000002</v>
      </c>
      <c r="C8" s="93" t="s">
        <v>32</v>
      </c>
      <c r="D8" s="110"/>
    </row>
    <row r="9" spans="1:5" ht="18.75" customHeight="1" x14ac:dyDescent="0.25">
      <c r="A9" s="49" t="s">
        <v>29</v>
      </c>
      <c r="B9" s="115">
        <f>C41</f>
        <v>402836</v>
      </c>
      <c r="C9" s="92" t="s">
        <v>32</v>
      </c>
      <c r="D9" s="111"/>
    </row>
    <row r="10" spans="1:5" ht="30.75" customHeight="1" x14ac:dyDescent="0.25">
      <c r="A10" s="10" t="s">
        <v>30</v>
      </c>
      <c r="B10" s="2" t="s">
        <v>1</v>
      </c>
      <c r="C10" s="23" t="s">
        <v>11</v>
      </c>
      <c r="D10" s="2" t="s">
        <v>5</v>
      </c>
    </row>
    <row r="11" spans="1:5" x14ac:dyDescent="0.25">
      <c r="A11" s="714" t="s">
        <v>16</v>
      </c>
      <c r="B11" s="714"/>
      <c r="C11" s="714"/>
      <c r="D11" s="714"/>
    </row>
    <row r="12" spans="1:5" x14ac:dyDescent="0.25">
      <c r="A12" s="120" t="s">
        <v>193</v>
      </c>
      <c r="B12" s="341">
        <v>618900</v>
      </c>
      <c r="C12" s="341">
        <v>618893.77</v>
      </c>
      <c r="D12" s="342">
        <f>B12-C12</f>
        <v>6.2299999999813735</v>
      </c>
    </row>
    <row r="13" spans="1:5" ht="15.75" customHeight="1" x14ac:dyDescent="0.25">
      <c r="A13" s="677" t="s">
        <v>328</v>
      </c>
      <c r="B13" s="678"/>
      <c r="C13" s="678"/>
      <c r="D13" s="679"/>
    </row>
    <row r="14" spans="1:5" ht="15.75" customHeight="1" x14ac:dyDescent="0.25">
      <c r="A14" s="680"/>
      <c r="B14" s="681"/>
      <c r="C14" s="681"/>
      <c r="D14" s="682"/>
    </row>
    <row r="15" spans="1:5" ht="15.75" customHeight="1" x14ac:dyDescent="0.25">
      <c r="A15" s="680"/>
      <c r="B15" s="681"/>
      <c r="C15" s="681"/>
      <c r="D15" s="682"/>
    </row>
    <row r="16" spans="1:5" ht="15.75" customHeight="1" x14ac:dyDescent="0.25">
      <c r="A16" s="680"/>
      <c r="B16" s="681"/>
      <c r="C16" s="681"/>
      <c r="D16" s="682"/>
    </row>
    <row r="17" spans="1:6" ht="15.75" customHeight="1" x14ac:dyDescent="0.25">
      <c r="A17" s="680"/>
      <c r="B17" s="681"/>
      <c r="C17" s="681"/>
      <c r="D17" s="682"/>
    </row>
    <row r="18" spans="1:6" ht="15.75" customHeight="1" x14ac:dyDescent="0.25">
      <c r="A18" s="680"/>
      <c r="B18" s="681"/>
      <c r="C18" s="681"/>
      <c r="D18" s="682"/>
    </row>
    <row r="19" spans="1:6" ht="15.75" customHeight="1" x14ac:dyDescent="0.25">
      <c r="A19" s="680"/>
      <c r="B19" s="681"/>
      <c r="C19" s="681"/>
      <c r="D19" s="682"/>
    </row>
    <row r="20" spans="1:6" ht="166.5" customHeight="1" x14ac:dyDescent="0.25">
      <c r="A20" s="683"/>
      <c r="B20" s="684"/>
      <c r="C20" s="684"/>
      <c r="D20" s="685"/>
    </row>
    <row r="21" spans="1:6" x14ac:dyDescent="0.25">
      <c r="A21" s="120" t="s">
        <v>97</v>
      </c>
      <c r="B21" s="96">
        <f>SUM(B12:B20)</f>
        <v>618900</v>
      </c>
      <c r="C21" s="96">
        <f>SUM(C12:C20)</f>
        <v>618893.77</v>
      </c>
      <c r="D21" s="96">
        <f>B21-C21</f>
        <v>6.2299999999813735</v>
      </c>
    </row>
    <row r="22" spans="1:6" x14ac:dyDescent="0.25">
      <c r="A22" s="121" t="s">
        <v>194</v>
      </c>
      <c r="B22" s="81">
        <v>508131</v>
      </c>
      <c r="C22" s="343">
        <v>454267.59</v>
      </c>
      <c r="D22" s="342">
        <f>B22-C22</f>
        <v>53863.409999999974</v>
      </c>
      <c r="E22" s="102"/>
    </row>
    <row r="23" spans="1:6" ht="15.75" customHeight="1" x14ac:dyDescent="0.25">
      <c r="A23" s="677" t="s">
        <v>329</v>
      </c>
      <c r="B23" s="678"/>
      <c r="C23" s="678"/>
      <c r="D23" s="679"/>
    </row>
    <row r="24" spans="1:6" ht="15.75" customHeight="1" x14ac:dyDescent="0.25">
      <c r="A24" s="680"/>
      <c r="B24" s="681"/>
      <c r="C24" s="681"/>
      <c r="D24" s="682"/>
    </row>
    <row r="25" spans="1:6" ht="19.5" customHeight="1" x14ac:dyDescent="0.25">
      <c r="A25" s="680"/>
      <c r="B25" s="681"/>
      <c r="C25" s="681"/>
      <c r="D25" s="682"/>
    </row>
    <row r="26" spans="1:6" ht="15.75" customHeight="1" x14ac:dyDescent="0.25">
      <c r="A26" s="680"/>
      <c r="B26" s="681"/>
      <c r="C26" s="681"/>
      <c r="D26" s="682"/>
    </row>
    <row r="27" spans="1:6" ht="15.75" customHeight="1" x14ac:dyDescent="0.25">
      <c r="A27" s="680"/>
      <c r="B27" s="681"/>
      <c r="C27" s="681"/>
      <c r="D27" s="682"/>
    </row>
    <row r="28" spans="1:6" ht="15.75" customHeight="1" x14ac:dyDescent="0.25">
      <c r="A28" s="680"/>
      <c r="B28" s="681"/>
      <c r="C28" s="681"/>
      <c r="D28" s="682"/>
    </row>
    <row r="29" spans="1:6" ht="15.75" customHeight="1" x14ac:dyDescent="0.25">
      <c r="A29" s="680"/>
      <c r="B29" s="681"/>
      <c r="C29" s="681"/>
      <c r="D29" s="682"/>
    </row>
    <row r="30" spans="1:6" ht="34.5" customHeight="1" x14ac:dyDescent="0.25">
      <c r="A30" s="680"/>
      <c r="B30" s="681"/>
      <c r="C30" s="681"/>
      <c r="D30" s="682"/>
    </row>
    <row r="31" spans="1:6" ht="15.75" customHeight="1" x14ac:dyDescent="0.25">
      <c r="A31" s="680"/>
      <c r="B31" s="681"/>
      <c r="C31" s="681"/>
      <c r="D31" s="682"/>
    </row>
    <row r="32" spans="1:6" ht="31.5" customHeight="1" x14ac:dyDescent="0.25">
      <c r="A32" s="680"/>
      <c r="B32" s="681"/>
      <c r="C32" s="681"/>
      <c r="D32" s="682"/>
      <c r="F32" s="321"/>
    </row>
    <row r="33" spans="1:6" ht="31.5" customHeight="1" x14ac:dyDescent="0.25">
      <c r="A33" s="680"/>
      <c r="B33" s="681"/>
      <c r="C33" s="681"/>
      <c r="D33" s="682"/>
    </row>
    <row r="34" spans="1:6" ht="44.25" customHeight="1" x14ac:dyDescent="0.25">
      <c r="A34" s="683"/>
      <c r="B34" s="684"/>
      <c r="C34" s="684"/>
      <c r="D34" s="685"/>
    </row>
    <row r="35" spans="1:6" x14ac:dyDescent="0.25">
      <c r="A35" s="120" t="s">
        <v>98</v>
      </c>
      <c r="B35" s="33">
        <f>SUM(B22:B34)</f>
        <v>508131</v>
      </c>
      <c r="C35" s="33">
        <f>SUM(C22:C34)</f>
        <v>454267.59</v>
      </c>
      <c r="D35" s="33">
        <f>B35-C35</f>
        <v>53863.409999999974</v>
      </c>
    </row>
    <row r="36" spans="1:6" ht="33" customHeight="1" x14ac:dyDescent="0.25">
      <c r="A36" s="222" t="s">
        <v>145</v>
      </c>
      <c r="B36" s="33">
        <v>78300</v>
      </c>
      <c r="C36" s="33">
        <v>59865.85</v>
      </c>
      <c r="D36" s="33">
        <f t="shared" ref="D36" si="0">B36-C36</f>
        <v>18434.150000000001</v>
      </c>
      <c r="E36" s="102"/>
      <c r="F36" s="102"/>
    </row>
    <row r="37" spans="1:6" x14ac:dyDescent="0.25">
      <c r="A37" s="210" t="s">
        <v>149</v>
      </c>
      <c r="B37" s="33">
        <f>B21+B35+B36</f>
        <v>1205331</v>
      </c>
      <c r="C37" s="33">
        <f>C21+C35+C36</f>
        <v>1133027.2100000002</v>
      </c>
      <c r="D37" s="33">
        <f>D21+D35+D36</f>
        <v>72303.78999999995</v>
      </c>
      <c r="E37" s="102"/>
    </row>
    <row r="38" spans="1:6" x14ac:dyDescent="0.25">
      <c r="A38" s="715" t="s">
        <v>93</v>
      </c>
      <c r="B38" s="715"/>
      <c r="C38" s="715"/>
      <c r="D38" s="715"/>
    </row>
    <row r="39" spans="1:6" x14ac:dyDescent="0.25">
      <c r="A39" s="3" t="s">
        <v>147</v>
      </c>
      <c r="B39" s="29">
        <v>417050</v>
      </c>
      <c r="C39" s="29">
        <v>402836</v>
      </c>
      <c r="D39" s="29">
        <f>+B39-C39</f>
        <v>14214</v>
      </c>
    </row>
    <row r="40" spans="1:6" ht="81" customHeight="1" x14ac:dyDescent="0.25">
      <c r="A40" s="686" t="s">
        <v>330</v>
      </c>
      <c r="B40" s="687"/>
      <c r="C40" s="687"/>
      <c r="D40" s="688"/>
    </row>
    <row r="41" spans="1:6" x14ac:dyDescent="0.25">
      <c r="A41" s="185" t="s">
        <v>148</v>
      </c>
      <c r="B41" s="85">
        <f>SUM(B39:B40)</f>
        <v>417050</v>
      </c>
      <c r="C41" s="85">
        <f>SUM(C39:C40)</f>
        <v>402836</v>
      </c>
      <c r="D41" s="85">
        <f>B41-C41</f>
        <v>14214</v>
      </c>
    </row>
    <row r="42" spans="1:6" x14ac:dyDescent="0.25">
      <c r="A42" s="210" t="s">
        <v>150</v>
      </c>
      <c r="B42" s="33">
        <f>B37+B41</f>
        <v>1622381</v>
      </c>
      <c r="C42" s="33">
        <f>C37+C41</f>
        <v>1535863.2100000002</v>
      </c>
      <c r="D42" s="33">
        <f>D37+D41</f>
        <v>86517.78999999995</v>
      </c>
    </row>
    <row r="43" spans="1:6" x14ac:dyDescent="0.25">
      <c r="A43" s="221" t="s">
        <v>35</v>
      </c>
      <c r="B43" s="64"/>
      <c r="C43" s="66">
        <f>C42/B42*100</f>
        <v>94.667233528992284</v>
      </c>
      <c r="D43" s="64" t="s">
        <v>34</v>
      </c>
    </row>
    <row r="44" spans="1:6" ht="9" customHeight="1" x14ac:dyDescent="0.25">
      <c r="A44" s="647"/>
      <c r="B44" s="647"/>
      <c r="C44" s="647"/>
      <c r="D44" s="647"/>
    </row>
    <row r="45" spans="1:6" ht="36.75" customHeight="1" x14ac:dyDescent="0.25">
      <c r="A45" s="647" t="s">
        <v>197</v>
      </c>
      <c r="B45" s="647"/>
      <c r="C45" s="647"/>
      <c r="D45" s="647"/>
    </row>
    <row r="48" spans="1:6" x14ac:dyDescent="0.25">
      <c r="A48" s="15" t="s">
        <v>173</v>
      </c>
      <c r="B48" s="296"/>
      <c r="C48" s="297" t="s">
        <v>174</v>
      </c>
      <c r="D48" s="15" t="s">
        <v>175</v>
      </c>
    </row>
  </sheetData>
  <mergeCells count="10">
    <mergeCell ref="A38:D38"/>
    <mergeCell ref="A44:D44"/>
    <mergeCell ref="A45:D45"/>
    <mergeCell ref="A4:D4"/>
    <mergeCell ref="A6:D6"/>
    <mergeCell ref="A11:D11"/>
    <mergeCell ref="A5:D5"/>
    <mergeCell ref="A13:D20"/>
    <mergeCell ref="A23:D34"/>
    <mergeCell ref="A40:D40"/>
  </mergeCells>
  <pageMargins left="0.39370078740157483" right="0.39370078740157483" top="0.74803149606299213" bottom="0.74803149606299213" header="0.31496062992125984" footer="0.31496062992125984"/>
  <pageSetup paperSize="9" scale="87" fitToHeight="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6"/>
  <sheetViews>
    <sheetView workbookViewId="0">
      <selection activeCell="S6" sqref="R6:S6"/>
    </sheetView>
  </sheetViews>
  <sheetFormatPr defaultRowHeight="15.75" x14ac:dyDescent="0.25"/>
  <cols>
    <col min="1" max="1" width="7.140625" customWidth="1"/>
    <col min="2" max="2" width="41.140625" style="15" customWidth="1"/>
    <col min="3" max="3" width="13.85546875" style="15" customWidth="1"/>
    <col min="4" max="4" width="14.140625" style="24" customWidth="1"/>
    <col min="5" max="5" width="13.42578125" style="15" customWidth="1"/>
  </cols>
  <sheetData>
    <row r="1" spans="1:9" ht="31.5" x14ac:dyDescent="0.25">
      <c r="D1" s="1" t="s">
        <v>604</v>
      </c>
      <c r="E1"/>
    </row>
    <row r="2" spans="1:9" x14ac:dyDescent="0.25">
      <c r="D2" t="s">
        <v>171</v>
      </c>
      <c r="E2" s="1"/>
    </row>
    <row r="3" spans="1:9" x14ac:dyDescent="0.25">
      <c r="B3" s="1"/>
      <c r="C3" s="1"/>
      <c r="D3" t="s">
        <v>586</v>
      </c>
      <c r="E3" s="1"/>
    </row>
    <row r="4" spans="1:9" x14ac:dyDescent="0.25">
      <c r="A4" s="633" t="s">
        <v>122</v>
      </c>
      <c r="B4" s="633"/>
      <c r="C4" s="633"/>
      <c r="D4" s="633"/>
      <c r="E4" s="633"/>
    </row>
    <row r="5" spans="1:9" ht="37.5" customHeight="1" x14ac:dyDescent="0.25">
      <c r="A5" s="737" t="s">
        <v>300</v>
      </c>
      <c r="B5" s="737"/>
      <c r="C5" s="737"/>
      <c r="D5" s="737"/>
      <c r="E5" s="737"/>
    </row>
    <row r="6" spans="1:9" ht="241.5" customHeight="1" x14ac:dyDescent="0.25">
      <c r="A6" s="738" t="s">
        <v>142</v>
      </c>
      <c r="B6" s="738"/>
      <c r="C6" s="738"/>
      <c r="D6" s="738"/>
      <c r="E6" s="738"/>
      <c r="I6" s="194"/>
    </row>
    <row r="7" spans="1:9" ht="16.5" x14ac:dyDescent="0.25">
      <c r="A7" s="47" t="s">
        <v>302</v>
      </c>
      <c r="B7" s="47"/>
      <c r="C7" s="47"/>
      <c r="D7" s="340">
        <f>+D12</f>
        <v>751268.08</v>
      </c>
      <c r="E7" s="47" t="s">
        <v>32</v>
      </c>
      <c r="I7" s="208"/>
    </row>
    <row r="8" spans="1:9" ht="30.75" customHeight="1" x14ac:dyDescent="0.25">
      <c r="A8" s="209" t="s">
        <v>22</v>
      </c>
      <c r="B8" s="10" t="s">
        <v>30</v>
      </c>
      <c r="C8" s="2" t="s">
        <v>8</v>
      </c>
      <c r="D8" s="23" t="s">
        <v>9</v>
      </c>
      <c r="E8" s="2" t="s">
        <v>5</v>
      </c>
    </row>
    <row r="9" spans="1:9" x14ac:dyDescent="0.25">
      <c r="B9" s="653" t="s">
        <v>16</v>
      </c>
      <c r="C9" s="654"/>
      <c r="D9" s="654"/>
      <c r="E9" s="655"/>
    </row>
    <row r="10" spans="1:9" ht="31.5" x14ac:dyDescent="0.25">
      <c r="A10" s="81">
        <v>114082</v>
      </c>
      <c r="B10" s="3" t="s">
        <v>193</v>
      </c>
      <c r="C10" s="336">
        <v>844900</v>
      </c>
      <c r="D10" s="337">
        <v>663918.07999999996</v>
      </c>
      <c r="E10" s="6">
        <f>+C10-D10</f>
        <v>180981.92000000004</v>
      </c>
    </row>
    <row r="11" spans="1:9" x14ac:dyDescent="0.25">
      <c r="A11" s="39"/>
      <c r="B11" s="3" t="s">
        <v>192</v>
      </c>
      <c r="C11" s="336">
        <v>106600</v>
      </c>
      <c r="D11" s="337">
        <v>87350</v>
      </c>
      <c r="E11" s="6">
        <f>+C11-D11</f>
        <v>19250</v>
      </c>
    </row>
    <row r="12" spans="1:9" ht="21" customHeight="1" x14ac:dyDescent="0.25">
      <c r="A12" s="39"/>
      <c r="B12" s="120" t="s">
        <v>36</v>
      </c>
      <c r="C12" s="33">
        <f>SUM(C10:C11)</f>
        <v>951500</v>
      </c>
      <c r="D12" s="33">
        <f>SUM(D10:D11)</f>
        <v>751268.08</v>
      </c>
      <c r="E12" s="33">
        <f>C12-D12</f>
        <v>200231.92000000004</v>
      </c>
    </row>
    <row r="13" spans="1:9" x14ac:dyDescent="0.25">
      <c r="A13" s="59"/>
      <c r="B13" s="61" t="s">
        <v>35</v>
      </c>
      <c r="C13" s="62"/>
      <c r="D13" s="66">
        <f>D12/C12*100</f>
        <v>78.956182869153963</v>
      </c>
      <c r="E13" s="67" t="s">
        <v>34</v>
      </c>
    </row>
    <row r="14" spans="1:9" ht="121.5" customHeight="1" x14ac:dyDescent="0.25">
      <c r="A14" s="635" t="s">
        <v>301</v>
      </c>
      <c r="B14" s="635"/>
      <c r="C14" s="635"/>
      <c r="D14" s="635"/>
      <c r="E14" s="635"/>
    </row>
    <row r="15" spans="1:9" ht="18.75" customHeight="1" x14ac:dyDescent="0.25">
      <c r="B15" s="646"/>
      <c r="C15" s="646"/>
      <c r="D15" s="646"/>
      <c r="E15" s="646"/>
      <c r="H15" s="102"/>
    </row>
    <row r="16" spans="1:9" x14ac:dyDescent="0.25">
      <c r="A16" t="s">
        <v>173</v>
      </c>
      <c r="C16" s="296"/>
      <c r="D16" s="297" t="s">
        <v>174</v>
      </c>
      <c r="E16" s="15" t="s">
        <v>175</v>
      </c>
    </row>
  </sheetData>
  <mergeCells count="6">
    <mergeCell ref="B15:E15"/>
    <mergeCell ref="A4:E4"/>
    <mergeCell ref="A5:E5"/>
    <mergeCell ref="A6:E6"/>
    <mergeCell ref="B9:E9"/>
    <mergeCell ref="A14:E14"/>
  </mergeCells>
  <pageMargins left="0.39370078740157483" right="0.39370078740157483"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43"/>
  <sheetViews>
    <sheetView workbookViewId="0">
      <selection activeCell="H6" sqref="H6"/>
    </sheetView>
  </sheetViews>
  <sheetFormatPr defaultRowHeight="15.75" x14ac:dyDescent="0.25"/>
  <cols>
    <col min="1" max="1" width="7.140625" customWidth="1"/>
    <col min="2" max="2" width="40.140625" style="15" customWidth="1"/>
    <col min="3" max="3" width="16.7109375" style="15" customWidth="1"/>
    <col min="4" max="4" width="16.140625" style="24" customWidth="1"/>
    <col min="5" max="5" width="16" style="15" customWidth="1"/>
    <col min="6" max="6" width="10" bestFit="1" customWidth="1"/>
  </cols>
  <sheetData>
    <row r="1" spans="1:5" x14ac:dyDescent="0.25">
      <c r="D1" s="631" t="s">
        <v>605</v>
      </c>
      <c r="E1" s="631"/>
    </row>
    <row r="2" spans="1:5" x14ac:dyDescent="0.25">
      <c r="D2" t="s">
        <v>171</v>
      </c>
      <c r="E2" s="1"/>
    </row>
    <row r="3" spans="1:5" x14ac:dyDescent="0.25">
      <c r="B3" s="1"/>
      <c r="C3" s="1"/>
      <c r="D3" t="s">
        <v>606</v>
      </c>
      <c r="E3" s="1"/>
    </row>
    <row r="4" spans="1:5" x14ac:dyDescent="0.25">
      <c r="A4" s="633" t="s">
        <v>122</v>
      </c>
      <c r="B4" s="633"/>
      <c r="C4" s="633"/>
      <c r="D4" s="633"/>
      <c r="E4" s="633"/>
    </row>
    <row r="5" spans="1:5" ht="37.5" customHeight="1" x14ac:dyDescent="0.25">
      <c r="A5" s="737" t="s">
        <v>303</v>
      </c>
      <c r="B5" s="737"/>
      <c r="C5" s="737"/>
      <c r="D5" s="737"/>
      <c r="E5" s="737"/>
    </row>
    <row r="6" spans="1:5" ht="376.5" customHeight="1" x14ac:dyDescent="0.25">
      <c r="A6" s="624" t="s">
        <v>304</v>
      </c>
      <c r="B6" s="624"/>
      <c r="C6" s="624"/>
      <c r="D6" s="624"/>
      <c r="E6" s="624"/>
    </row>
    <row r="7" spans="1:5" x14ac:dyDescent="0.25">
      <c r="A7" s="47" t="s">
        <v>283</v>
      </c>
      <c r="B7" s="47"/>
      <c r="C7" s="47"/>
      <c r="D7" s="340">
        <f>+C8+C9</f>
        <v>707409.53999999992</v>
      </c>
      <c r="E7" s="93" t="s">
        <v>32</v>
      </c>
    </row>
    <row r="8" spans="1:5" x14ac:dyDescent="0.25">
      <c r="B8" s="119" t="s">
        <v>28</v>
      </c>
      <c r="C8" s="53">
        <f>D30</f>
        <v>567409.53999999992</v>
      </c>
      <c r="D8" s="93" t="s">
        <v>32</v>
      </c>
      <c r="E8" s="119"/>
    </row>
    <row r="9" spans="1:5" x14ac:dyDescent="0.25">
      <c r="B9" s="314" t="s">
        <v>29</v>
      </c>
      <c r="C9" s="53">
        <f>+C33</f>
        <v>140000</v>
      </c>
      <c r="D9" s="93" t="s">
        <v>32</v>
      </c>
      <c r="E9" s="314"/>
    </row>
    <row r="10" spans="1:5" s="11" customFormat="1" ht="30.75" customHeight="1" x14ac:dyDescent="0.25">
      <c r="A10" s="95" t="s">
        <v>22</v>
      </c>
      <c r="B10" s="10" t="s">
        <v>30</v>
      </c>
      <c r="C10" s="10" t="s">
        <v>1</v>
      </c>
      <c r="D10" s="109" t="s">
        <v>11</v>
      </c>
      <c r="E10" s="10" t="s">
        <v>5</v>
      </c>
    </row>
    <row r="11" spans="1:5" x14ac:dyDescent="0.25">
      <c r="B11" s="653" t="s">
        <v>16</v>
      </c>
      <c r="C11" s="654"/>
      <c r="D11" s="654"/>
      <c r="E11" s="655"/>
    </row>
    <row r="12" spans="1:5" hidden="1" x14ac:dyDescent="0.25">
      <c r="B12" s="3" t="s">
        <v>14</v>
      </c>
      <c r="C12" s="337">
        <v>3077631</v>
      </c>
      <c r="D12" s="337">
        <v>3076121.63</v>
      </c>
      <c r="E12" s="6">
        <f>C12-D12</f>
        <v>1509.3700000001118</v>
      </c>
    </row>
    <row r="13" spans="1:5" hidden="1" x14ac:dyDescent="0.25">
      <c r="A13" s="39"/>
      <c r="B13" s="3" t="s">
        <v>64</v>
      </c>
      <c r="C13" s="337">
        <v>677074</v>
      </c>
      <c r="D13" s="337">
        <v>666139.79</v>
      </c>
      <c r="E13" s="6">
        <f t="shared" ref="E13:E29" si="0">C13-D13</f>
        <v>10934.209999999963</v>
      </c>
    </row>
    <row r="14" spans="1:5" hidden="1" x14ac:dyDescent="0.25">
      <c r="A14" s="39"/>
      <c r="B14" s="3" t="s">
        <v>95</v>
      </c>
      <c r="C14" s="96">
        <f>C12+C13</f>
        <v>3754705</v>
      </c>
      <c r="D14" s="96">
        <f t="shared" ref="D14:E14" si="1">D12+D13</f>
        <v>3742261.42</v>
      </c>
      <c r="E14" s="96">
        <f t="shared" si="1"/>
        <v>12443.580000000075</v>
      </c>
    </row>
    <row r="15" spans="1:5" ht="31.5" x14ac:dyDescent="0.25">
      <c r="A15" s="81">
        <v>115062</v>
      </c>
      <c r="B15" s="5" t="s">
        <v>138</v>
      </c>
      <c r="C15" s="336">
        <v>208895</v>
      </c>
      <c r="D15" s="337">
        <v>208895</v>
      </c>
      <c r="E15" s="6"/>
    </row>
    <row r="16" spans="1:5" ht="15.75" customHeight="1" x14ac:dyDescent="0.25">
      <c r="A16" s="728" t="s">
        <v>305</v>
      </c>
      <c r="B16" s="729"/>
      <c r="C16" s="729"/>
      <c r="D16" s="729"/>
      <c r="E16" s="730"/>
    </row>
    <row r="17" spans="1:6" ht="15.75" customHeight="1" x14ac:dyDescent="0.25">
      <c r="A17" s="731"/>
      <c r="B17" s="732"/>
      <c r="C17" s="732"/>
      <c r="D17" s="732"/>
      <c r="E17" s="733"/>
    </row>
    <row r="18" spans="1:6" ht="15.75" customHeight="1" x14ac:dyDescent="0.25">
      <c r="A18" s="731"/>
      <c r="B18" s="732"/>
      <c r="C18" s="732"/>
      <c r="D18" s="732"/>
      <c r="E18" s="733"/>
    </row>
    <row r="19" spans="1:6" ht="44.25" customHeight="1" x14ac:dyDescent="0.25">
      <c r="A19" s="734"/>
      <c r="B19" s="735"/>
      <c r="C19" s="735"/>
      <c r="D19" s="735"/>
      <c r="E19" s="736"/>
    </row>
    <row r="20" spans="1:6" x14ac:dyDescent="0.25">
      <c r="A20" s="39"/>
      <c r="B20" s="120" t="s">
        <v>97</v>
      </c>
      <c r="C20" s="96">
        <f>+C15</f>
        <v>208895</v>
      </c>
      <c r="D20" s="96">
        <f>SUM(D15:D19)</f>
        <v>208895</v>
      </c>
      <c r="E20" s="96">
        <f>C20-D20</f>
        <v>0</v>
      </c>
    </row>
    <row r="21" spans="1:6" x14ac:dyDescent="0.25">
      <c r="A21" s="39"/>
      <c r="B21" s="120"/>
      <c r="C21" s="336"/>
      <c r="D21" s="337"/>
      <c r="E21" s="6"/>
    </row>
    <row r="22" spans="1:6" x14ac:dyDescent="0.25">
      <c r="A22" s="39"/>
      <c r="B22" s="120" t="s">
        <v>194</v>
      </c>
      <c r="C22" s="336">
        <v>396800</v>
      </c>
      <c r="D22" s="337">
        <v>348066.2</v>
      </c>
      <c r="E22" s="6"/>
    </row>
    <row r="23" spans="1:6" ht="15.75" customHeight="1" x14ac:dyDescent="0.25">
      <c r="A23" s="677" t="s">
        <v>306</v>
      </c>
      <c r="B23" s="678"/>
      <c r="C23" s="678"/>
      <c r="D23" s="678"/>
      <c r="E23" s="679"/>
    </row>
    <row r="24" spans="1:6" ht="15.75" customHeight="1" x14ac:dyDescent="0.25">
      <c r="A24" s="680"/>
      <c r="B24" s="681"/>
      <c r="C24" s="681"/>
      <c r="D24" s="681"/>
      <c r="E24" s="682"/>
    </row>
    <row r="25" spans="1:6" ht="31.5" customHeight="1" x14ac:dyDescent="0.25">
      <c r="A25" s="680"/>
      <c r="B25" s="681"/>
      <c r="C25" s="681"/>
      <c r="D25" s="681"/>
      <c r="E25" s="682"/>
    </row>
    <row r="26" spans="1:6" ht="31.5" customHeight="1" x14ac:dyDescent="0.25">
      <c r="A26" s="680"/>
      <c r="B26" s="681"/>
      <c r="C26" s="681"/>
      <c r="D26" s="681"/>
      <c r="E26" s="682"/>
    </row>
    <row r="27" spans="1:6" ht="9.75" customHeight="1" x14ac:dyDescent="0.25">
      <c r="A27" s="683"/>
      <c r="B27" s="684"/>
      <c r="C27" s="684"/>
      <c r="D27" s="684"/>
      <c r="E27" s="685"/>
    </row>
    <row r="28" spans="1:6" x14ac:dyDescent="0.25">
      <c r="A28" s="39"/>
      <c r="B28" s="120" t="s">
        <v>139</v>
      </c>
      <c r="C28" s="96">
        <f>+C22</f>
        <v>396800</v>
      </c>
      <c r="D28" s="96">
        <f>SUM(D22:D27)</f>
        <v>348066.2</v>
      </c>
      <c r="E28" s="96">
        <f>C28-D28</f>
        <v>48733.799999999988</v>
      </c>
    </row>
    <row r="29" spans="1:6" ht="31.5" x14ac:dyDescent="0.25">
      <c r="A29" s="39"/>
      <c r="B29" s="3" t="s">
        <v>307</v>
      </c>
      <c r="C29" s="337">
        <v>16000</v>
      </c>
      <c r="D29" s="337">
        <v>10448.34</v>
      </c>
      <c r="E29" s="6">
        <f t="shared" si="0"/>
        <v>5551.66</v>
      </c>
      <c r="F29" s="102"/>
    </row>
    <row r="30" spans="1:6" x14ac:dyDescent="0.25">
      <c r="A30" s="39"/>
      <c r="B30" s="120" t="s">
        <v>141</v>
      </c>
      <c r="C30" s="33">
        <f>C20+C28+C29</f>
        <v>621695</v>
      </c>
      <c r="D30" s="33">
        <f>D20+D28+D29</f>
        <v>567409.53999999992</v>
      </c>
      <c r="E30" s="33">
        <f>E20+E28+E29</f>
        <v>54285.459999999992</v>
      </c>
    </row>
    <row r="31" spans="1:6" ht="15.75" customHeight="1" x14ac:dyDescent="0.25">
      <c r="A31" s="39"/>
      <c r="B31" s="61" t="s">
        <v>35</v>
      </c>
      <c r="C31" s="63"/>
      <c r="D31" s="65">
        <f>D30/C30*100</f>
        <v>91.268152389837439</v>
      </c>
      <c r="E31" s="64" t="s">
        <v>34</v>
      </c>
    </row>
    <row r="32" spans="1:6" x14ac:dyDescent="0.25">
      <c r="A32" s="59">
        <v>115062</v>
      </c>
      <c r="B32" s="315" t="s">
        <v>17</v>
      </c>
      <c r="C32" s="315"/>
      <c r="D32" s="315"/>
      <c r="E32" s="316"/>
    </row>
    <row r="33" spans="1:6" ht="31.5" x14ac:dyDescent="0.25">
      <c r="A33" s="78"/>
      <c r="B33" s="74" t="s">
        <v>195</v>
      </c>
      <c r="C33" s="29">
        <v>140000</v>
      </c>
      <c r="D33" s="29">
        <v>136090.5</v>
      </c>
      <c r="E33" s="29">
        <f t="shared" ref="E33" si="2">+C33-D33</f>
        <v>3909.5</v>
      </c>
    </row>
    <row r="34" spans="1:6" ht="36" customHeight="1" x14ac:dyDescent="0.25">
      <c r="A34" s="723" t="s">
        <v>308</v>
      </c>
      <c r="B34" s="724"/>
      <c r="C34" s="724"/>
      <c r="D34" s="724"/>
      <c r="E34" s="725"/>
    </row>
    <row r="35" spans="1:6" x14ac:dyDescent="0.25">
      <c r="A35" s="78"/>
      <c r="B35" s="320" t="s">
        <v>18</v>
      </c>
      <c r="C35" s="85">
        <f>SUM(C33:C33)</f>
        <v>140000</v>
      </c>
      <c r="D35" s="85">
        <f>SUM(D33:D33)</f>
        <v>136090.5</v>
      </c>
      <c r="E35" s="85">
        <f>+C35-D35</f>
        <v>3909.5</v>
      </c>
    </row>
    <row r="36" spans="1:6" x14ac:dyDescent="0.25">
      <c r="A36" s="78"/>
      <c r="B36" s="317" t="s">
        <v>35</v>
      </c>
      <c r="C36" s="62"/>
      <c r="D36" s="66">
        <f>D35/C35*100</f>
        <v>97.207499999999996</v>
      </c>
      <c r="E36" s="67" t="s">
        <v>34</v>
      </c>
    </row>
    <row r="37" spans="1:6" x14ac:dyDescent="0.25">
      <c r="A37" s="59"/>
      <c r="B37" s="647"/>
      <c r="C37" s="647"/>
      <c r="D37" s="647"/>
      <c r="E37" s="647"/>
    </row>
    <row r="38" spans="1:6" ht="15" customHeight="1" x14ac:dyDescent="0.25">
      <c r="B38" s="318"/>
      <c r="C38" s="318"/>
      <c r="D38" s="318"/>
      <c r="E38" s="318"/>
    </row>
    <row r="39" spans="1:6" ht="53.25" customHeight="1" x14ac:dyDescent="0.25">
      <c r="A39" s="624" t="s">
        <v>140</v>
      </c>
      <c r="B39" s="624"/>
      <c r="C39" s="624"/>
      <c r="D39" s="624"/>
      <c r="E39" s="624"/>
    </row>
    <row r="41" spans="1:6" x14ac:dyDescent="0.25">
      <c r="C41" s="296"/>
      <c r="D41" s="297" t="s">
        <v>174</v>
      </c>
      <c r="E41" s="15" t="s">
        <v>175</v>
      </c>
    </row>
    <row r="42" spans="1:6" ht="15" x14ac:dyDescent="0.25">
      <c r="A42" t="s">
        <v>173</v>
      </c>
      <c r="B42" s="319"/>
      <c r="C42" s="319"/>
      <c r="D42" s="319"/>
      <c r="E42" s="319"/>
    </row>
    <row r="43" spans="1:6" ht="54.75" customHeight="1" x14ac:dyDescent="0.25">
      <c r="F43" s="319"/>
    </row>
  </sheetData>
  <mergeCells count="10">
    <mergeCell ref="A39:E39"/>
    <mergeCell ref="D1:E1"/>
    <mergeCell ref="B37:E37"/>
    <mergeCell ref="A4:E4"/>
    <mergeCell ref="A5:E5"/>
    <mergeCell ref="A6:E6"/>
    <mergeCell ref="B11:E11"/>
    <mergeCell ref="A16:E19"/>
    <mergeCell ref="A23:E27"/>
    <mergeCell ref="A34:E34"/>
  </mergeCells>
  <pageMargins left="0.39370078740157483" right="0.39370078740157483" top="0.74803149606299213" bottom="0.74803149606299213" header="0.31496062992125984" footer="0.31496062992125984"/>
  <pageSetup paperSize="9" scale="9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7"/>
  <sheetViews>
    <sheetView workbookViewId="0">
      <selection activeCell="M6" sqref="M6"/>
    </sheetView>
  </sheetViews>
  <sheetFormatPr defaultRowHeight="15.75" x14ac:dyDescent="0.25"/>
  <cols>
    <col min="1" max="1" width="7.140625" customWidth="1"/>
    <col min="2" max="2" width="41.140625" style="15" customWidth="1"/>
    <col min="3" max="3" width="13.85546875" style="15" customWidth="1"/>
    <col min="4" max="4" width="14.140625" style="24" customWidth="1"/>
    <col min="5" max="5" width="13.42578125" style="15" customWidth="1"/>
  </cols>
  <sheetData>
    <row r="1" spans="1:9" ht="31.5" x14ac:dyDescent="0.25">
      <c r="D1" s="1" t="s">
        <v>607</v>
      </c>
      <c r="E1"/>
    </row>
    <row r="2" spans="1:9" x14ac:dyDescent="0.25">
      <c r="D2" t="s">
        <v>171</v>
      </c>
      <c r="E2" s="1"/>
    </row>
    <row r="3" spans="1:9" x14ac:dyDescent="0.25">
      <c r="B3" s="1"/>
      <c r="C3" s="1"/>
      <c r="D3" t="s">
        <v>586</v>
      </c>
      <c r="E3" s="1"/>
    </row>
    <row r="4" spans="1:9" x14ac:dyDescent="0.25">
      <c r="A4" s="633" t="s">
        <v>122</v>
      </c>
      <c r="B4" s="633"/>
      <c r="C4" s="633"/>
      <c r="D4" s="633"/>
      <c r="E4" s="633"/>
    </row>
    <row r="5" spans="1:9" ht="37.5" customHeight="1" x14ac:dyDescent="0.25">
      <c r="A5" s="737" t="s">
        <v>449</v>
      </c>
      <c r="B5" s="737"/>
      <c r="C5" s="737"/>
      <c r="D5" s="737"/>
      <c r="E5" s="737"/>
    </row>
    <row r="6" spans="1:9" ht="348.75" customHeight="1" x14ac:dyDescent="0.25">
      <c r="A6" s="738" t="s">
        <v>450</v>
      </c>
      <c r="B6" s="738"/>
      <c r="C6" s="738"/>
      <c r="D6" s="738"/>
      <c r="E6" s="738"/>
      <c r="I6" s="194"/>
    </row>
    <row r="7" spans="1:9" ht="16.5" x14ac:dyDescent="0.25">
      <c r="A7" s="47" t="s">
        <v>302</v>
      </c>
      <c r="B7" s="47"/>
      <c r="C7" s="47"/>
      <c r="D7" s="340">
        <f>+D12</f>
        <v>180000</v>
      </c>
      <c r="E7" s="47" t="s">
        <v>32</v>
      </c>
      <c r="I7" s="208"/>
    </row>
    <row r="8" spans="1:9" ht="30.75" customHeight="1" x14ac:dyDescent="0.25">
      <c r="A8" s="209" t="s">
        <v>22</v>
      </c>
      <c r="B8" s="10" t="s">
        <v>30</v>
      </c>
      <c r="C8" s="537" t="s">
        <v>8</v>
      </c>
      <c r="D8" s="23" t="s">
        <v>9</v>
      </c>
      <c r="E8" s="537" t="s">
        <v>5</v>
      </c>
    </row>
    <row r="9" spans="1:9" x14ac:dyDescent="0.25">
      <c r="A9" s="39"/>
      <c r="B9" s="653" t="s">
        <v>16</v>
      </c>
      <c r="C9" s="654"/>
      <c r="D9" s="654"/>
      <c r="E9" s="655"/>
    </row>
    <row r="10" spans="1:9" ht="41.25" customHeight="1" x14ac:dyDescent="0.25">
      <c r="A10" s="81">
        <v>115062</v>
      </c>
      <c r="B10" s="3" t="s">
        <v>451</v>
      </c>
      <c r="C10" s="336">
        <v>125000</v>
      </c>
      <c r="D10" s="337">
        <v>110000</v>
      </c>
      <c r="E10" s="6">
        <f>+C10-D10</f>
        <v>15000</v>
      </c>
    </row>
    <row r="11" spans="1:9" ht="63" x14ac:dyDescent="0.25">
      <c r="A11" s="39"/>
      <c r="B11" s="3" t="s">
        <v>452</v>
      </c>
      <c r="C11" s="336">
        <v>75000</v>
      </c>
      <c r="D11" s="337">
        <v>70000</v>
      </c>
      <c r="E11" s="6">
        <f>+C11-D11</f>
        <v>5000</v>
      </c>
    </row>
    <row r="12" spans="1:9" ht="21" customHeight="1" x14ac:dyDescent="0.25">
      <c r="A12" s="39"/>
      <c r="B12" s="120" t="s">
        <v>36</v>
      </c>
      <c r="C12" s="33">
        <f>SUM(C10:C11)</f>
        <v>200000</v>
      </c>
      <c r="D12" s="33">
        <f>SUM(D10:D11)</f>
        <v>180000</v>
      </c>
      <c r="E12" s="33">
        <f>C12-D12</f>
        <v>20000</v>
      </c>
    </row>
    <row r="13" spans="1:9" x14ac:dyDescent="0.25">
      <c r="A13" s="39"/>
      <c r="B13" s="221" t="s">
        <v>35</v>
      </c>
      <c r="C13" s="64"/>
      <c r="D13" s="66">
        <f>D12/C12*100</f>
        <v>90</v>
      </c>
      <c r="E13" s="64" t="s">
        <v>34</v>
      </c>
    </row>
    <row r="14" spans="1:9" ht="53.25" customHeight="1" x14ac:dyDescent="0.25">
      <c r="A14" s="739" t="s">
        <v>453</v>
      </c>
      <c r="B14" s="739"/>
      <c r="C14" s="739"/>
      <c r="D14" s="739"/>
      <c r="E14" s="739"/>
    </row>
    <row r="15" spans="1:9" ht="21.75" customHeight="1" x14ac:dyDescent="0.25">
      <c r="A15" s="527"/>
      <c r="B15" s="527"/>
      <c r="C15" s="527"/>
      <c r="D15" s="527"/>
      <c r="E15" s="527"/>
    </row>
    <row r="16" spans="1:9" ht="18.75" customHeight="1" x14ac:dyDescent="0.25">
      <c r="B16" s="646"/>
      <c r="C16" s="646"/>
      <c r="D16" s="646"/>
      <c r="E16" s="646"/>
      <c r="H16" s="102"/>
    </row>
    <row r="17" spans="1:5" x14ac:dyDescent="0.25">
      <c r="A17" t="s">
        <v>173</v>
      </c>
      <c r="C17" s="296"/>
      <c r="D17" s="297" t="s">
        <v>174</v>
      </c>
      <c r="E17" s="15" t="s">
        <v>175</v>
      </c>
    </row>
  </sheetData>
  <mergeCells count="6">
    <mergeCell ref="B16:E16"/>
    <mergeCell ref="A4:E4"/>
    <mergeCell ref="A5:E5"/>
    <mergeCell ref="A6:E6"/>
    <mergeCell ref="B9:E9"/>
    <mergeCell ref="A14:E14"/>
  </mergeCells>
  <pageMargins left="0.70866141732283472" right="0.70866141732283472" top="0.74803149606299213" bottom="0.74803149606299213" header="0.31496062992125984" footer="0.31496062992125984"/>
  <pageSetup paperSize="9" scale="9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25"/>
  <sheetViews>
    <sheetView workbookViewId="0">
      <selection activeCell="H6" sqref="H6"/>
    </sheetView>
  </sheetViews>
  <sheetFormatPr defaultRowHeight="15.75" x14ac:dyDescent="0.25"/>
  <cols>
    <col min="1" max="1" width="7.140625" customWidth="1"/>
    <col min="2" max="2" width="40.140625" style="15" customWidth="1"/>
    <col min="3" max="3" width="16.7109375" style="15" customWidth="1"/>
    <col min="4" max="4" width="16.140625" style="24" customWidth="1"/>
    <col min="5" max="5" width="24.28515625" style="15" customWidth="1"/>
    <col min="6" max="6" width="10" bestFit="1" customWidth="1"/>
  </cols>
  <sheetData>
    <row r="1" spans="1:6" x14ac:dyDescent="0.25">
      <c r="D1" s="631" t="s">
        <v>608</v>
      </c>
      <c r="E1" s="631"/>
    </row>
    <row r="2" spans="1:6" x14ac:dyDescent="0.25">
      <c r="D2" t="s">
        <v>171</v>
      </c>
      <c r="E2" s="1"/>
    </row>
    <row r="3" spans="1:6" x14ac:dyDescent="0.25">
      <c r="B3" s="1"/>
      <c r="C3" s="1"/>
      <c r="D3" t="s">
        <v>609</v>
      </c>
      <c r="E3" s="1"/>
    </row>
    <row r="4" spans="1:6" x14ac:dyDescent="0.25">
      <c r="A4" s="633" t="s">
        <v>122</v>
      </c>
      <c r="B4" s="633"/>
      <c r="C4" s="633"/>
      <c r="D4" s="633"/>
      <c r="E4" s="633"/>
    </row>
    <row r="5" spans="1:6" ht="22.5" customHeight="1" x14ac:dyDescent="0.25">
      <c r="A5" s="737" t="s">
        <v>309</v>
      </c>
      <c r="B5" s="737"/>
      <c r="C5" s="737"/>
      <c r="D5" s="737"/>
      <c r="E5" s="737"/>
    </row>
    <row r="6" spans="1:6" ht="409.5" customHeight="1" x14ac:dyDescent="0.25">
      <c r="A6" s="624" t="s">
        <v>196</v>
      </c>
      <c r="B6" s="624"/>
      <c r="C6" s="624"/>
      <c r="D6" s="624"/>
      <c r="E6" s="624"/>
    </row>
    <row r="7" spans="1:6" x14ac:dyDescent="0.25">
      <c r="A7" s="646" t="s">
        <v>283</v>
      </c>
      <c r="B7" s="646"/>
      <c r="C7" s="646"/>
      <c r="D7" s="646"/>
      <c r="E7" s="646"/>
    </row>
    <row r="8" spans="1:6" x14ac:dyDescent="0.25">
      <c r="B8" s="309" t="s">
        <v>28</v>
      </c>
      <c r="C8" s="53">
        <f>D18</f>
        <v>80888.62</v>
      </c>
      <c r="D8" s="93" t="s">
        <v>32</v>
      </c>
      <c r="E8" s="309"/>
    </row>
    <row r="9" spans="1:6" s="11" customFormat="1" ht="30.75" customHeight="1" x14ac:dyDescent="0.25">
      <c r="A9" s="95" t="s">
        <v>22</v>
      </c>
      <c r="B9" s="10" t="s">
        <v>30</v>
      </c>
      <c r="C9" s="10" t="s">
        <v>1</v>
      </c>
      <c r="D9" s="109" t="s">
        <v>11</v>
      </c>
      <c r="E9" s="10" t="s">
        <v>5</v>
      </c>
    </row>
    <row r="10" spans="1:6" x14ac:dyDescent="0.25">
      <c r="B10" s="653" t="s">
        <v>16</v>
      </c>
      <c r="C10" s="654"/>
      <c r="D10" s="654"/>
      <c r="E10" s="655"/>
    </row>
    <row r="11" spans="1:6" ht="31.5" x14ac:dyDescent="0.25">
      <c r="A11" s="81">
        <v>113132</v>
      </c>
      <c r="B11" s="5" t="s">
        <v>138</v>
      </c>
      <c r="C11" s="336">
        <v>77800</v>
      </c>
      <c r="D11" s="337">
        <v>77785.899999999994</v>
      </c>
      <c r="E11" s="6"/>
    </row>
    <row r="12" spans="1:6" ht="46.5" customHeight="1" x14ac:dyDescent="0.25">
      <c r="A12" s="741" t="s">
        <v>311</v>
      </c>
      <c r="B12" s="742"/>
      <c r="C12" s="742"/>
      <c r="D12" s="742"/>
      <c r="E12" s="743"/>
    </row>
    <row r="13" spans="1:6" x14ac:dyDescent="0.25">
      <c r="A13" s="39"/>
      <c r="B13" s="120" t="s">
        <v>97</v>
      </c>
      <c r="C13" s="96">
        <f>SUM(C11:C12)</f>
        <v>77800</v>
      </c>
      <c r="D13" s="96">
        <f>SUM(D11:D12)</f>
        <v>77785.899999999994</v>
      </c>
      <c r="E13" s="96">
        <f>C13-D13</f>
        <v>14.100000000005821</v>
      </c>
    </row>
    <row r="14" spans="1:6" x14ac:dyDescent="0.25">
      <c r="A14" s="39"/>
      <c r="B14" s="120" t="s">
        <v>194</v>
      </c>
      <c r="C14" s="336">
        <v>1800</v>
      </c>
      <c r="D14" s="337">
        <v>1800</v>
      </c>
      <c r="E14" s="6"/>
    </row>
    <row r="15" spans="1:6" ht="15" x14ac:dyDescent="0.25">
      <c r="A15" s="744" t="s">
        <v>310</v>
      </c>
      <c r="B15" s="745"/>
      <c r="C15" s="745"/>
      <c r="D15" s="745"/>
      <c r="E15" s="746"/>
    </row>
    <row r="16" spans="1:6" x14ac:dyDescent="0.25">
      <c r="A16" s="39"/>
      <c r="B16" s="120" t="s">
        <v>139</v>
      </c>
      <c r="C16" s="96">
        <f>SUM(C14:C15)</f>
        <v>1800</v>
      </c>
      <c r="D16" s="96">
        <f>SUM(D14:D15)</f>
        <v>1800</v>
      </c>
      <c r="E16" s="96">
        <f>C16-D16</f>
        <v>0</v>
      </c>
      <c r="F16" s="102"/>
    </row>
    <row r="17" spans="1:6" x14ac:dyDescent="0.25">
      <c r="A17" s="39"/>
      <c r="B17" s="3" t="s">
        <v>85</v>
      </c>
      <c r="C17" s="337">
        <v>4000</v>
      </c>
      <c r="D17" s="337">
        <v>1302.72</v>
      </c>
      <c r="E17" s="6">
        <f t="shared" ref="E17" si="0">C17-D17</f>
        <v>2697.2799999999997</v>
      </c>
    </row>
    <row r="18" spans="1:6" ht="15.75" customHeight="1" x14ac:dyDescent="0.25">
      <c r="A18" s="39"/>
      <c r="B18" s="120" t="s">
        <v>141</v>
      </c>
      <c r="C18" s="33">
        <f>C13+C16+C17</f>
        <v>83600</v>
      </c>
      <c r="D18" s="33">
        <f>D13+D16+D17</f>
        <v>80888.62</v>
      </c>
      <c r="E18" s="33">
        <f>E13+E16+E17</f>
        <v>2711.3800000000056</v>
      </c>
    </row>
    <row r="19" spans="1:6" x14ac:dyDescent="0.25">
      <c r="A19" s="59"/>
      <c r="B19" s="312" t="s">
        <v>35</v>
      </c>
      <c r="C19" s="63"/>
      <c r="D19" s="65">
        <f>D18/C18*100</f>
        <v>96.756722488038278</v>
      </c>
      <c r="E19" s="64" t="s">
        <v>34</v>
      </c>
    </row>
    <row r="20" spans="1:6" ht="15" customHeight="1" x14ac:dyDescent="0.25">
      <c r="B20" s="647"/>
      <c r="C20" s="647"/>
      <c r="D20" s="647"/>
      <c r="E20" s="647"/>
    </row>
    <row r="21" spans="1:6" ht="53.25" customHeight="1" x14ac:dyDescent="0.25">
      <c r="A21" s="635" t="s">
        <v>140</v>
      </c>
      <c r="B21" s="635"/>
      <c r="C21" s="635"/>
      <c r="D21" s="635"/>
      <c r="E21" s="635"/>
    </row>
    <row r="24" spans="1:6" x14ac:dyDescent="0.25">
      <c r="A24" t="s">
        <v>173</v>
      </c>
      <c r="C24" s="296"/>
      <c r="D24" s="297" t="s">
        <v>174</v>
      </c>
      <c r="E24" s="15" t="s">
        <v>175</v>
      </c>
    </row>
    <row r="25" spans="1:6" ht="54.75" customHeight="1" x14ac:dyDescent="0.25">
      <c r="B25" s="740"/>
      <c r="C25" s="740"/>
      <c r="D25" s="740"/>
      <c r="E25" s="740"/>
      <c r="F25" s="740"/>
    </row>
  </sheetData>
  <mergeCells count="11">
    <mergeCell ref="B20:E20"/>
    <mergeCell ref="A21:E21"/>
    <mergeCell ref="B25:F25"/>
    <mergeCell ref="D1:E1"/>
    <mergeCell ref="A4:E4"/>
    <mergeCell ref="A5:E5"/>
    <mergeCell ref="A6:E6"/>
    <mergeCell ref="A7:E7"/>
    <mergeCell ref="B10:E10"/>
    <mergeCell ref="A12:E12"/>
    <mergeCell ref="A15:E15"/>
  </mergeCells>
  <pageMargins left="0.39370078740157483" right="0.39370078740157483" top="0.74803149606299213" bottom="0.74803149606299213" header="0.31496062992125984" footer="0.31496062992125984"/>
  <pageSetup paperSize="9" scale="83" fitToHeight="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6"/>
  <sheetViews>
    <sheetView workbookViewId="0">
      <selection activeCell="O6" sqref="O6"/>
    </sheetView>
  </sheetViews>
  <sheetFormatPr defaultRowHeight="15.75" x14ac:dyDescent="0.25"/>
  <cols>
    <col min="1" max="1" width="7.140625" customWidth="1"/>
    <col min="2" max="2" width="38.5703125" style="15" customWidth="1"/>
    <col min="3" max="3" width="13.85546875" style="15" customWidth="1"/>
    <col min="4" max="4" width="14.140625" style="24" customWidth="1"/>
    <col min="5" max="5" width="12.85546875" style="15" customWidth="1"/>
    <col min="6" max="6" width="10" bestFit="1" customWidth="1"/>
  </cols>
  <sheetData>
    <row r="1" spans="1:5" x14ac:dyDescent="0.25">
      <c r="D1" s="631" t="s">
        <v>610</v>
      </c>
      <c r="E1" s="631"/>
    </row>
    <row r="2" spans="1:5" x14ac:dyDescent="0.25">
      <c r="D2" t="s">
        <v>171</v>
      </c>
      <c r="E2" s="1"/>
    </row>
    <row r="3" spans="1:5" x14ac:dyDescent="0.25">
      <c r="B3" s="1"/>
      <c r="C3" s="1"/>
      <c r="D3" t="s">
        <v>611</v>
      </c>
      <c r="E3" s="1"/>
    </row>
    <row r="4" spans="1:5" x14ac:dyDescent="0.25">
      <c r="A4" s="626" t="s">
        <v>123</v>
      </c>
      <c r="B4" s="626"/>
      <c r="C4" s="626"/>
      <c r="D4" s="626"/>
      <c r="E4" s="626"/>
    </row>
    <row r="5" spans="1:5" ht="33" customHeight="1" x14ac:dyDescent="0.25">
      <c r="A5" s="737" t="s">
        <v>312</v>
      </c>
      <c r="B5" s="737"/>
      <c r="C5" s="737"/>
      <c r="D5" s="737"/>
      <c r="E5" s="737"/>
    </row>
    <row r="6" spans="1:5" ht="399.95" customHeight="1" x14ac:dyDescent="0.25">
      <c r="A6" s="647" t="s">
        <v>313</v>
      </c>
      <c r="B6" s="647"/>
      <c r="C6" s="647"/>
      <c r="D6" s="647"/>
      <c r="E6" s="647"/>
    </row>
    <row r="7" spans="1:5" x14ac:dyDescent="0.25">
      <c r="A7" s="646" t="s">
        <v>283</v>
      </c>
      <c r="B7" s="646"/>
      <c r="C7" s="646"/>
      <c r="D7" s="646"/>
      <c r="E7" s="646"/>
    </row>
    <row r="8" spans="1:5" x14ac:dyDescent="0.25">
      <c r="B8" s="125" t="s">
        <v>28</v>
      </c>
      <c r="C8" s="53">
        <f>D36</f>
        <v>9663314.7800000012</v>
      </c>
      <c r="D8" s="125" t="s">
        <v>32</v>
      </c>
      <c r="E8" s="125"/>
    </row>
    <row r="9" spans="1:5" ht="18.75" customHeight="1" x14ac:dyDescent="0.25">
      <c r="B9" s="49" t="s">
        <v>29</v>
      </c>
      <c r="C9" s="115">
        <f>D41</f>
        <v>0</v>
      </c>
      <c r="D9" s="126"/>
      <c r="E9" s="126"/>
    </row>
    <row r="10" spans="1:5" x14ac:dyDescent="0.25">
      <c r="B10" s="1"/>
      <c r="C10" s="1"/>
      <c r="D10" s="22"/>
      <c r="E10" s="1"/>
    </row>
    <row r="11" spans="1:5" ht="30.75" customHeight="1" x14ac:dyDescent="0.25">
      <c r="A11" s="50" t="s">
        <v>22</v>
      </c>
      <c r="B11" s="10" t="s">
        <v>30</v>
      </c>
      <c r="C11" s="2" t="s">
        <v>8</v>
      </c>
      <c r="D11" s="23" t="s">
        <v>100</v>
      </c>
      <c r="E11" s="2" t="s">
        <v>5</v>
      </c>
    </row>
    <row r="12" spans="1:5" x14ac:dyDescent="0.25">
      <c r="B12" s="653" t="s">
        <v>16</v>
      </c>
      <c r="C12" s="654"/>
      <c r="D12" s="654"/>
      <c r="E12" s="655"/>
    </row>
    <row r="13" spans="1:5" x14ac:dyDescent="0.25">
      <c r="A13" s="81">
        <v>112111</v>
      </c>
      <c r="B13" s="276" t="s">
        <v>89</v>
      </c>
      <c r="C13" s="235"/>
      <c r="D13" s="235"/>
      <c r="E13" s="235"/>
    </row>
    <row r="14" spans="1:5" x14ac:dyDescent="0.25">
      <c r="B14" s="3" t="s">
        <v>54</v>
      </c>
      <c r="C14" s="346">
        <v>6066904</v>
      </c>
      <c r="D14" s="347">
        <v>6066579.46</v>
      </c>
      <c r="E14" s="344">
        <f>C14-D14</f>
        <v>324.54000000003725</v>
      </c>
    </row>
    <row r="15" spans="1:5" x14ac:dyDescent="0.25">
      <c r="A15" s="39"/>
      <c r="B15" s="3" t="s">
        <v>64</v>
      </c>
      <c r="C15" s="346">
        <v>1369896</v>
      </c>
      <c r="D15" s="347">
        <v>1369896</v>
      </c>
      <c r="E15" s="344">
        <f>C15-D15</f>
        <v>0</v>
      </c>
    </row>
    <row r="16" spans="1:5" x14ac:dyDescent="0.25">
      <c r="A16" s="39"/>
      <c r="B16" s="5" t="s">
        <v>95</v>
      </c>
      <c r="C16" s="348">
        <f>C14+C15</f>
        <v>7436800</v>
      </c>
      <c r="D16" s="348">
        <f>D14+D15</f>
        <v>7436475.46</v>
      </c>
      <c r="E16" s="96">
        <f>E14+E15</f>
        <v>324.54000000003725</v>
      </c>
    </row>
    <row r="17" spans="1:6" x14ac:dyDescent="0.25">
      <c r="A17" s="39"/>
      <c r="B17" s="144" t="s">
        <v>88</v>
      </c>
      <c r="C17" s="348"/>
      <c r="D17" s="348"/>
      <c r="E17" s="96"/>
    </row>
    <row r="18" spans="1:6" ht="17.45" customHeight="1" x14ac:dyDescent="0.25">
      <c r="A18" s="39"/>
      <c r="B18" s="3" t="s">
        <v>73</v>
      </c>
      <c r="C18" s="346">
        <v>14700</v>
      </c>
      <c r="D18" s="349">
        <v>10777.55</v>
      </c>
      <c r="E18" s="344">
        <f>C18-D18</f>
        <v>3922.4500000000007</v>
      </c>
      <c r="F18" s="102"/>
    </row>
    <row r="19" spans="1:6" x14ac:dyDescent="0.25">
      <c r="A19" s="39"/>
      <c r="B19" s="3" t="s">
        <v>74</v>
      </c>
      <c r="C19" s="346">
        <v>1041250</v>
      </c>
      <c r="D19" s="349">
        <v>595977.26</v>
      </c>
      <c r="E19" s="344">
        <f>C19-D19</f>
        <v>445272.74</v>
      </c>
    </row>
    <row r="20" spans="1:6" x14ac:dyDescent="0.25">
      <c r="A20" s="39"/>
      <c r="B20" s="3" t="s">
        <v>40</v>
      </c>
      <c r="C20" s="346">
        <v>126500</v>
      </c>
      <c r="D20" s="349">
        <v>81478.509999999995</v>
      </c>
      <c r="E20" s="344">
        <f>C20-D20</f>
        <v>45021.490000000005</v>
      </c>
    </row>
    <row r="21" spans="1:6" ht="29.25" customHeight="1" x14ac:dyDescent="0.25">
      <c r="A21" s="39"/>
      <c r="B21" s="21" t="s">
        <v>198</v>
      </c>
      <c r="C21" s="346">
        <v>202850</v>
      </c>
      <c r="D21" s="349">
        <v>55432.22</v>
      </c>
      <c r="E21" s="344">
        <f>C21-D21</f>
        <v>147417.78</v>
      </c>
    </row>
    <row r="22" spans="1:6" x14ac:dyDescent="0.25">
      <c r="A22" s="39"/>
      <c r="B22" s="120" t="s">
        <v>96</v>
      </c>
      <c r="C22" s="348">
        <f>SUM(C18:C21)</f>
        <v>1385300</v>
      </c>
      <c r="D22" s="348">
        <f>SUM(D18:D21)</f>
        <v>743665.54</v>
      </c>
      <c r="E22" s="96">
        <f>SUM(E18:E21)</f>
        <v>641634.46</v>
      </c>
    </row>
    <row r="23" spans="1:6" x14ac:dyDescent="0.25">
      <c r="A23" s="39"/>
      <c r="B23" s="5" t="s">
        <v>78</v>
      </c>
      <c r="C23" s="350">
        <v>0</v>
      </c>
      <c r="D23" s="348">
        <v>0</v>
      </c>
      <c r="E23" s="96">
        <f>C23-D23</f>
        <v>0</v>
      </c>
    </row>
    <row r="24" spans="1:6" ht="31.5" x14ac:dyDescent="0.25">
      <c r="A24" s="39"/>
      <c r="B24" s="120" t="s">
        <v>199</v>
      </c>
      <c r="C24" s="351">
        <v>518760</v>
      </c>
      <c r="D24" s="352">
        <v>501122.4</v>
      </c>
      <c r="E24" s="96">
        <f>C24-D24</f>
        <v>17637.599999999977</v>
      </c>
      <c r="F24" s="102"/>
    </row>
    <row r="25" spans="1:6" ht="15.75" customHeight="1" x14ac:dyDescent="0.25">
      <c r="A25" s="677" t="s">
        <v>314</v>
      </c>
      <c r="B25" s="678"/>
      <c r="C25" s="678"/>
      <c r="D25" s="678"/>
      <c r="E25" s="679"/>
    </row>
    <row r="26" spans="1:6" ht="15.75" customHeight="1" x14ac:dyDescent="0.25">
      <c r="A26" s="680"/>
      <c r="B26" s="681"/>
      <c r="C26" s="681"/>
      <c r="D26" s="681"/>
      <c r="E26" s="682"/>
    </row>
    <row r="27" spans="1:6" ht="5.25" customHeight="1" x14ac:dyDescent="0.25">
      <c r="A27" s="683"/>
      <c r="B27" s="684"/>
      <c r="C27" s="684"/>
      <c r="D27" s="684"/>
      <c r="E27" s="685"/>
    </row>
    <row r="28" spans="1:6" x14ac:dyDescent="0.25">
      <c r="A28" s="57"/>
      <c r="B28" s="140" t="s">
        <v>97</v>
      </c>
      <c r="C28" s="141">
        <f>+C24</f>
        <v>518760</v>
      </c>
      <c r="D28" s="141">
        <f>+D24</f>
        <v>501122.4</v>
      </c>
      <c r="E28" s="141">
        <f>+C28-D28</f>
        <v>17637.599999999977</v>
      </c>
    </row>
    <row r="29" spans="1:6" ht="17.25" customHeight="1" x14ac:dyDescent="0.25">
      <c r="A29" s="39"/>
      <c r="B29" s="140" t="s">
        <v>212</v>
      </c>
      <c r="C29" s="525">
        <v>1094550</v>
      </c>
      <c r="D29" s="353">
        <v>982051.38</v>
      </c>
      <c r="E29" s="96">
        <f>+C29-D29</f>
        <v>112498.62</v>
      </c>
    </row>
    <row r="30" spans="1:6" ht="15.75" customHeight="1" x14ac:dyDescent="0.25">
      <c r="A30" s="680" t="s">
        <v>315</v>
      </c>
      <c r="B30" s="681"/>
      <c r="C30" s="681"/>
      <c r="D30" s="681"/>
      <c r="E30" s="682"/>
    </row>
    <row r="31" spans="1:6" ht="30.95" customHeight="1" x14ac:dyDescent="0.25">
      <c r="A31" s="680"/>
      <c r="B31" s="681"/>
      <c r="C31" s="681"/>
      <c r="D31" s="681"/>
      <c r="E31" s="682"/>
    </row>
    <row r="32" spans="1:6" ht="17.45" customHeight="1" x14ac:dyDescent="0.25">
      <c r="A32" s="680"/>
      <c r="B32" s="681"/>
      <c r="C32" s="681"/>
      <c r="D32" s="681"/>
      <c r="E32" s="682"/>
    </row>
    <row r="33" spans="1:6" ht="22.5" customHeight="1" x14ac:dyDescent="0.25">
      <c r="A33" s="683"/>
      <c r="B33" s="684"/>
      <c r="C33" s="684"/>
      <c r="D33" s="684"/>
      <c r="E33" s="685"/>
    </row>
    <row r="34" spans="1:6" x14ac:dyDescent="0.25">
      <c r="A34" s="39"/>
      <c r="B34" s="120" t="s">
        <v>168</v>
      </c>
      <c r="C34" s="33">
        <f>SUM(C29:C33)</f>
        <v>1094550</v>
      </c>
      <c r="D34" s="33">
        <f>SUM(D29:D33)</f>
        <v>982051.38</v>
      </c>
      <c r="E34" s="96">
        <f>C34-D34</f>
        <v>112498.62</v>
      </c>
    </row>
    <row r="35" spans="1:6" x14ac:dyDescent="0.25">
      <c r="A35" s="39"/>
      <c r="B35" s="21" t="s">
        <v>85</v>
      </c>
      <c r="C35" s="345">
        <v>7500</v>
      </c>
      <c r="D35" s="354">
        <v>0</v>
      </c>
      <c r="E35" s="96">
        <f>C35-D35</f>
        <v>7500</v>
      </c>
      <c r="F35" s="102"/>
    </row>
    <row r="36" spans="1:6" x14ac:dyDescent="0.25">
      <c r="A36" s="39"/>
      <c r="B36" s="236" t="s">
        <v>15</v>
      </c>
      <c r="C36" s="33">
        <f>C16+C22+C28+C34+C35+C23</f>
        <v>10442910</v>
      </c>
      <c r="D36" s="33">
        <f>D16+D22+D28+D34+D35+D23</f>
        <v>9663314.7800000012</v>
      </c>
      <c r="E36" s="33">
        <f>E16+E22+E28+E34+E23+E35</f>
        <v>779595.22</v>
      </c>
      <c r="F36" s="102"/>
    </row>
    <row r="37" spans="1:6" x14ac:dyDescent="0.25">
      <c r="A37" s="715" t="s">
        <v>17</v>
      </c>
      <c r="B37" s="715"/>
      <c r="C37" s="715"/>
      <c r="D37" s="715"/>
      <c r="E37" s="715"/>
    </row>
    <row r="38" spans="1:6" ht="17.25" customHeight="1" x14ac:dyDescent="0.25">
      <c r="A38" s="80"/>
      <c r="B38" s="1"/>
      <c r="C38" s="29"/>
      <c r="D38" s="29"/>
      <c r="E38" s="29"/>
    </row>
    <row r="39" spans="1:6" x14ac:dyDescent="0.25">
      <c r="A39" s="78"/>
      <c r="B39" s="21"/>
      <c r="C39" s="29"/>
      <c r="D39" s="29"/>
      <c r="E39" s="29">
        <f>C39-D39</f>
        <v>0</v>
      </c>
    </row>
    <row r="40" spans="1:6" x14ac:dyDescent="0.25">
      <c r="A40" s="78"/>
      <c r="B40" s="82" t="s">
        <v>36</v>
      </c>
      <c r="C40" s="85">
        <f>SUM(C38:C39)</f>
        <v>0</v>
      </c>
      <c r="D40" s="85">
        <f>SUM(D38:D39)</f>
        <v>0</v>
      </c>
      <c r="E40" s="85">
        <f>SUM(E38:E39)</f>
        <v>0</v>
      </c>
    </row>
    <row r="41" spans="1:6" x14ac:dyDescent="0.25">
      <c r="A41" s="39"/>
      <c r="B41" s="234" t="s">
        <v>18</v>
      </c>
      <c r="C41" s="33">
        <f>C40</f>
        <v>0</v>
      </c>
      <c r="D41" s="33">
        <f>D40</f>
        <v>0</v>
      </c>
      <c r="E41" s="33">
        <f>E40</f>
        <v>0</v>
      </c>
    </row>
    <row r="42" spans="1:6" x14ac:dyDescent="0.25">
      <c r="A42" s="39"/>
      <c r="B42" s="236" t="s">
        <v>94</v>
      </c>
      <c r="C42" s="33">
        <f>C36+C41</f>
        <v>10442910</v>
      </c>
      <c r="D42" s="33">
        <f t="shared" ref="D42" si="0">D36+D41</f>
        <v>9663314.7800000012</v>
      </c>
      <c r="E42" s="33">
        <f>E36+E41</f>
        <v>779595.22</v>
      </c>
    </row>
    <row r="43" spans="1:6" x14ac:dyDescent="0.25">
      <c r="A43" s="39"/>
      <c r="B43" s="61" t="s">
        <v>35</v>
      </c>
      <c r="C43" s="62"/>
      <c r="D43" s="66">
        <f>D42/C42*100</f>
        <v>92.53469368212501</v>
      </c>
      <c r="E43" s="67" t="s">
        <v>34</v>
      </c>
    </row>
    <row r="44" spans="1:6" ht="57.6" customHeight="1" x14ac:dyDescent="0.25">
      <c r="A44" s="729" t="s">
        <v>200</v>
      </c>
      <c r="B44" s="729"/>
      <c r="C44" s="729"/>
      <c r="D44" s="729"/>
      <c r="E44" s="729"/>
    </row>
    <row r="45" spans="1:6" ht="18.75" customHeight="1" x14ac:dyDescent="0.25">
      <c r="A45" t="s">
        <v>173</v>
      </c>
      <c r="B45" s="47"/>
      <c r="C45" s="205"/>
      <c r="D45" s="131" t="s">
        <v>174</v>
      </c>
      <c r="E45" s="47" t="s">
        <v>175</v>
      </c>
    </row>
    <row r="46" spans="1:6" ht="78" customHeight="1" x14ac:dyDescent="0.25"/>
  </sheetData>
  <mergeCells count="10">
    <mergeCell ref="D1:E1"/>
    <mergeCell ref="A4:E4"/>
    <mergeCell ref="A44:E44"/>
    <mergeCell ref="A37:E37"/>
    <mergeCell ref="A5:E5"/>
    <mergeCell ref="A6:E6"/>
    <mergeCell ref="A7:E7"/>
    <mergeCell ref="B12:E12"/>
    <mergeCell ref="A25:E27"/>
    <mergeCell ref="A30:E3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9"/>
  <sheetViews>
    <sheetView workbookViewId="0">
      <selection activeCell="I6" sqref="I6"/>
    </sheetView>
  </sheetViews>
  <sheetFormatPr defaultRowHeight="15.75" x14ac:dyDescent="0.25"/>
  <cols>
    <col min="1" max="1" width="7.140625" customWidth="1"/>
    <col min="2" max="2" width="34" style="15" customWidth="1"/>
    <col min="3" max="3" width="17.140625" style="15" customWidth="1"/>
    <col min="4" max="4" width="17.140625" style="24" customWidth="1"/>
    <col min="5" max="5" width="14.85546875" style="15" customWidth="1"/>
    <col min="6" max="6" width="10" bestFit="1" customWidth="1"/>
    <col min="8" max="8" width="13.140625" customWidth="1"/>
    <col min="9" max="9" width="11.140625" bestFit="1" customWidth="1"/>
  </cols>
  <sheetData>
    <row r="1" spans="1:6" x14ac:dyDescent="0.25">
      <c r="D1" s="631" t="s">
        <v>612</v>
      </c>
      <c r="E1" s="631"/>
    </row>
    <row r="2" spans="1:6" x14ac:dyDescent="0.25">
      <c r="D2" t="s">
        <v>171</v>
      </c>
      <c r="E2" s="1"/>
    </row>
    <row r="3" spans="1:6" x14ac:dyDescent="0.25">
      <c r="B3" s="1"/>
      <c r="C3" s="1"/>
      <c r="D3" t="s">
        <v>586</v>
      </c>
      <c r="E3" s="1"/>
    </row>
    <row r="4" spans="1:6" x14ac:dyDescent="0.25">
      <c r="A4" s="626" t="s">
        <v>123</v>
      </c>
      <c r="B4" s="626"/>
      <c r="C4" s="626"/>
      <c r="D4" s="626"/>
      <c r="E4" s="626"/>
    </row>
    <row r="5" spans="1:6" ht="33" customHeight="1" x14ac:dyDescent="0.25">
      <c r="A5" s="626" t="s">
        <v>317</v>
      </c>
      <c r="B5" s="626"/>
      <c r="C5" s="626"/>
      <c r="D5" s="626"/>
      <c r="E5" s="626"/>
    </row>
    <row r="6" spans="1:6" ht="330" customHeight="1" x14ac:dyDescent="0.25">
      <c r="A6" s="738" t="s">
        <v>214</v>
      </c>
      <c r="B6" s="738"/>
      <c r="C6" s="738"/>
      <c r="D6" s="738"/>
      <c r="E6" s="738"/>
    </row>
    <row r="7" spans="1:6" x14ac:dyDescent="0.25">
      <c r="A7" s="47" t="s">
        <v>283</v>
      </c>
      <c r="B7" s="47"/>
      <c r="C7" s="47"/>
      <c r="D7" s="340">
        <f>+C8+C9</f>
        <v>11305717.869999999</v>
      </c>
      <c r="E7" s="47" t="s">
        <v>32</v>
      </c>
    </row>
    <row r="8" spans="1:6" x14ac:dyDescent="0.25">
      <c r="B8" s="125" t="s">
        <v>28</v>
      </c>
      <c r="C8" s="53">
        <f>+D37</f>
        <v>11290728.379999999</v>
      </c>
      <c r="D8" s="47" t="s">
        <v>32</v>
      </c>
      <c r="E8" s="125"/>
    </row>
    <row r="9" spans="1:6" x14ac:dyDescent="0.25">
      <c r="B9" s="367" t="s">
        <v>29</v>
      </c>
      <c r="C9" s="53">
        <f>+D44</f>
        <v>14989.49</v>
      </c>
      <c r="D9" s="47" t="s">
        <v>32</v>
      </c>
      <c r="E9" s="366"/>
    </row>
    <row r="10" spans="1:6" ht="30.75" customHeight="1" x14ac:dyDescent="0.25">
      <c r="A10" s="50" t="s">
        <v>22</v>
      </c>
      <c r="B10" s="10" t="s">
        <v>30</v>
      </c>
      <c r="C10" s="2" t="s">
        <v>1</v>
      </c>
      <c r="D10" s="23" t="s">
        <v>11</v>
      </c>
      <c r="E10" s="2" t="s">
        <v>5</v>
      </c>
    </row>
    <row r="11" spans="1:6" x14ac:dyDescent="0.25">
      <c r="A11" s="39"/>
      <c r="B11" s="714" t="s">
        <v>16</v>
      </c>
      <c r="C11" s="714"/>
      <c r="D11" s="714"/>
      <c r="E11" s="714"/>
    </row>
    <row r="12" spans="1:6" x14ac:dyDescent="0.25">
      <c r="A12" s="81">
        <v>112151</v>
      </c>
      <c r="B12" s="144" t="s">
        <v>88</v>
      </c>
      <c r="C12" s="6"/>
      <c r="D12" s="6"/>
      <c r="E12" s="6"/>
    </row>
    <row r="13" spans="1:6" x14ac:dyDescent="0.25">
      <c r="A13" s="39"/>
      <c r="B13" s="3" t="s">
        <v>74</v>
      </c>
      <c r="C13" s="29">
        <v>441620</v>
      </c>
      <c r="D13" s="30">
        <v>191495.7</v>
      </c>
      <c r="E13" s="6">
        <f>+C13-D13</f>
        <v>250124.3</v>
      </c>
    </row>
    <row r="14" spans="1:6" x14ac:dyDescent="0.25">
      <c r="A14" s="39"/>
      <c r="B14" s="3" t="s">
        <v>40</v>
      </c>
      <c r="C14" s="6">
        <v>840700</v>
      </c>
      <c r="D14" s="6">
        <v>286498.18</v>
      </c>
      <c r="E14" s="6">
        <f t="shared" ref="E14:E17" si="0">+C14-D14</f>
        <v>554201.82000000007</v>
      </c>
    </row>
    <row r="15" spans="1:6" ht="27" customHeight="1" x14ac:dyDescent="0.25">
      <c r="A15" s="39"/>
      <c r="B15" s="3" t="s">
        <v>73</v>
      </c>
      <c r="C15" s="6">
        <v>79780</v>
      </c>
      <c r="D15" s="6">
        <v>24119.71</v>
      </c>
      <c r="E15" s="6">
        <f t="shared" si="0"/>
        <v>55660.29</v>
      </c>
      <c r="F15" s="102"/>
    </row>
    <row r="16" spans="1:6" hidden="1" x14ac:dyDescent="0.25">
      <c r="A16" s="39"/>
      <c r="B16" s="3"/>
      <c r="C16" s="6"/>
      <c r="D16" s="6"/>
      <c r="E16" s="6">
        <f t="shared" si="0"/>
        <v>0</v>
      </c>
      <c r="F16" s="102"/>
    </row>
    <row r="17" spans="1:8" x14ac:dyDescent="0.25">
      <c r="A17" s="39"/>
      <c r="B17" s="21" t="s">
        <v>75</v>
      </c>
      <c r="C17" s="6">
        <v>200000</v>
      </c>
      <c r="D17" s="6">
        <v>98772.47</v>
      </c>
      <c r="E17" s="6">
        <f t="shared" si="0"/>
        <v>101227.53</v>
      </c>
    </row>
    <row r="18" spans="1:8" x14ac:dyDescent="0.25">
      <c r="A18" s="39"/>
      <c r="B18" s="186" t="s">
        <v>96</v>
      </c>
      <c r="C18" s="96">
        <f>C13+C14+C15+C16+C17</f>
        <v>1562100</v>
      </c>
      <c r="D18" s="96">
        <f>D13+D14+D15+D16+D17</f>
        <v>600886.06000000006</v>
      </c>
      <c r="E18" s="96">
        <f>C18-D18</f>
        <v>961213.94</v>
      </c>
    </row>
    <row r="19" spans="1:8" x14ac:dyDescent="0.25">
      <c r="A19" s="39"/>
      <c r="B19" s="186" t="s">
        <v>183</v>
      </c>
      <c r="C19" s="96">
        <f>C18</f>
        <v>1562100</v>
      </c>
      <c r="D19" s="96">
        <f t="shared" ref="D19:E19" si="1">D18</f>
        <v>600886.06000000006</v>
      </c>
      <c r="E19" s="96">
        <f t="shared" si="1"/>
        <v>961213.94</v>
      </c>
    </row>
    <row r="20" spans="1:8" x14ac:dyDescent="0.25">
      <c r="A20" s="81">
        <v>112152</v>
      </c>
      <c r="B20" s="276" t="s">
        <v>89</v>
      </c>
      <c r="C20" s="96"/>
      <c r="D20" s="96"/>
      <c r="E20" s="6"/>
    </row>
    <row r="21" spans="1:8" x14ac:dyDescent="0.25">
      <c r="A21" s="39"/>
      <c r="B21" s="3" t="s">
        <v>14</v>
      </c>
      <c r="C21" s="6">
        <v>8998830</v>
      </c>
      <c r="D21" s="6">
        <v>8052298.6799999997</v>
      </c>
      <c r="E21" s="6"/>
    </row>
    <row r="22" spans="1:8" x14ac:dyDescent="0.25">
      <c r="A22" s="39"/>
      <c r="B22" s="3" t="s">
        <v>64</v>
      </c>
      <c r="C22" s="6">
        <v>1979743</v>
      </c>
      <c r="D22" s="6">
        <v>1750535.52</v>
      </c>
      <c r="E22" s="6"/>
    </row>
    <row r="23" spans="1:8" x14ac:dyDescent="0.25">
      <c r="A23" s="39"/>
      <c r="B23" s="186" t="s">
        <v>95</v>
      </c>
      <c r="C23" s="96">
        <f>C21+C22</f>
        <v>10978573</v>
      </c>
      <c r="D23" s="96">
        <f t="shared" ref="D23" si="2">D21+D22</f>
        <v>9802834.1999999993</v>
      </c>
      <c r="E23" s="96">
        <f>C23-D23</f>
        <v>1175738.8000000007</v>
      </c>
    </row>
    <row r="24" spans="1:8" x14ac:dyDescent="0.25">
      <c r="A24" s="39"/>
      <c r="C24" s="96"/>
      <c r="D24" s="96"/>
      <c r="E24" s="6"/>
    </row>
    <row r="25" spans="1:8" x14ac:dyDescent="0.25">
      <c r="A25" s="39"/>
      <c r="B25" s="120" t="s">
        <v>78</v>
      </c>
      <c r="C25" s="361">
        <v>228650</v>
      </c>
      <c r="D25" s="362">
        <v>228234.75</v>
      </c>
      <c r="E25" s="232">
        <f>+C25-D25</f>
        <v>415.25</v>
      </c>
    </row>
    <row r="26" spans="1:8" ht="243" customHeight="1" x14ac:dyDescent="0.25">
      <c r="A26" s="39"/>
      <c r="B26" s="686" t="s">
        <v>319</v>
      </c>
      <c r="C26" s="687"/>
      <c r="D26" s="687"/>
      <c r="E26" s="688"/>
      <c r="H26" s="538"/>
    </row>
    <row r="27" spans="1:8" ht="17.25" customHeight="1" x14ac:dyDescent="0.25">
      <c r="A27" s="39"/>
      <c r="B27" s="276" t="s">
        <v>157</v>
      </c>
      <c r="C27" s="361">
        <v>185700</v>
      </c>
      <c r="D27" s="362">
        <v>185633.41</v>
      </c>
      <c r="E27" s="96">
        <f>+C27-D27</f>
        <v>66.589999999996508</v>
      </c>
    </row>
    <row r="28" spans="1:8" ht="383.25" customHeight="1" x14ac:dyDescent="0.25">
      <c r="A28" s="39"/>
      <c r="B28" s="686" t="s">
        <v>318</v>
      </c>
      <c r="C28" s="687"/>
      <c r="D28" s="687"/>
      <c r="E28" s="688"/>
    </row>
    <row r="29" spans="1:8" ht="31.5" x14ac:dyDescent="0.25">
      <c r="A29" s="39"/>
      <c r="B29" s="277" t="s">
        <v>212</v>
      </c>
      <c r="C29" s="363">
        <v>480658</v>
      </c>
      <c r="D29" s="364">
        <v>473139.96</v>
      </c>
      <c r="E29" s="365">
        <f>+C29-D29</f>
        <v>7518.039999999979</v>
      </c>
    </row>
    <row r="30" spans="1:8" ht="31.5" customHeight="1" x14ac:dyDescent="0.25">
      <c r="A30" s="39"/>
      <c r="B30" s="668" t="s">
        <v>320</v>
      </c>
      <c r="C30" s="669"/>
      <c r="D30" s="669"/>
      <c r="E30" s="670"/>
    </row>
    <row r="31" spans="1:8" ht="15.75" customHeight="1" x14ac:dyDescent="0.25">
      <c r="A31" s="39"/>
      <c r="B31" s="671"/>
      <c r="C31" s="672"/>
      <c r="D31" s="672"/>
      <c r="E31" s="673"/>
    </row>
    <row r="32" spans="1:8" ht="15.75" customHeight="1" x14ac:dyDescent="0.25">
      <c r="A32" s="39"/>
      <c r="B32" s="671"/>
      <c r="C32" s="672"/>
      <c r="D32" s="672"/>
      <c r="E32" s="673"/>
    </row>
    <row r="33" spans="1:9" ht="15.75" customHeight="1" x14ac:dyDescent="0.25">
      <c r="A33" s="39"/>
      <c r="B33" s="671"/>
      <c r="C33" s="672"/>
      <c r="D33" s="672"/>
      <c r="E33" s="673"/>
    </row>
    <row r="34" spans="1:9" ht="15.75" customHeight="1" x14ac:dyDescent="0.25">
      <c r="A34" s="39"/>
      <c r="B34" s="671"/>
      <c r="C34" s="672"/>
      <c r="D34" s="672"/>
      <c r="E34" s="673"/>
    </row>
    <row r="35" spans="1:9" ht="114.75" customHeight="1" x14ac:dyDescent="0.25">
      <c r="A35" s="39"/>
      <c r="B35" s="674"/>
      <c r="C35" s="675"/>
      <c r="D35" s="675"/>
      <c r="E35" s="676"/>
      <c r="I35" s="459"/>
    </row>
    <row r="36" spans="1:9" x14ac:dyDescent="0.25">
      <c r="A36" s="59"/>
      <c r="B36" s="236" t="s">
        <v>182</v>
      </c>
      <c r="C36" s="33">
        <f>+C29+C27+C25+C23</f>
        <v>11873581</v>
      </c>
      <c r="D36" s="33">
        <f>+D29+D27+D25+D23</f>
        <v>10689842.319999998</v>
      </c>
      <c r="E36" s="33">
        <f>C36-D36</f>
        <v>1183738.6800000016</v>
      </c>
    </row>
    <row r="37" spans="1:9" x14ac:dyDescent="0.25">
      <c r="A37" s="59"/>
      <c r="B37" s="236" t="s">
        <v>15</v>
      </c>
      <c r="C37" s="33">
        <f>+C36+C19</f>
        <v>13435681</v>
      </c>
      <c r="D37" s="33">
        <f t="shared" ref="D37:E37" si="3">+D36+D19</f>
        <v>11290728.379999999</v>
      </c>
      <c r="E37" s="33">
        <f t="shared" si="3"/>
        <v>2144952.6200000015</v>
      </c>
    </row>
    <row r="38" spans="1:9" x14ac:dyDescent="0.25">
      <c r="A38" s="715" t="s">
        <v>17</v>
      </c>
      <c r="B38" s="715"/>
      <c r="C38" s="715"/>
      <c r="D38" s="715"/>
      <c r="E38" s="715"/>
    </row>
    <row r="39" spans="1:9" x14ac:dyDescent="0.25">
      <c r="A39" s="80">
        <v>112152</v>
      </c>
      <c r="B39" s="163" t="s">
        <v>213</v>
      </c>
      <c r="C39" s="335">
        <v>15000</v>
      </c>
      <c r="D39" s="335">
        <v>112373</v>
      </c>
      <c r="E39" s="383">
        <f>+C39-D39</f>
        <v>-97373</v>
      </c>
    </row>
    <row r="40" spans="1:9" ht="29.25" customHeight="1" x14ac:dyDescent="0.25">
      <c r="A40" s="78"/>
      <c r="B40" s="747" t="s">
        <v>321</v>
      </c>
      <c r="C40" s="748"/>
      <c r="D40" s="748"/>
      <c r="E40" s="749"/>
    </row>
    <row r="41" spans="1:9" ht="19.5" customHeight="1" x14ac:dyDescent="0.25">
      <c r="A41" s="78"/>
      <c r="B41" s="82" t="s">
        <v>36</v>
      </c>
      <c r="C41" s="382">
        <f>+C39</f>
        <v>15000</v>
      </c>
      <c r="D41" s="382">
        <v>14989.49</v>
      </c>
      <c r="E41" s="384">
        <f t="shared" ref="E41" si="4">+E39</f>
        <v>-97373</v>
      </c>
    </row>
    <row r="42" spans="1:9" ht="29.25" hidden="1" customHeight="1" x14ac:dyDescent="0.25">
      <c r="A42" s="78">
        <v>117670</v>
      </c>
      <c r="B42" s="370" t="s">
        <v>218</v>
      </c>
      <c r="C42" s="371"/>
      <c r="D42" s="371"/>
      <c r="E42" s="385">
        <f>+C42-D42</f>
        <v>0</v>
      </c>
    </row>
    <row r="43" spans="1:9" ht="18" hidden="1" customHeight="1" x14ac:dyDescent="0.25">
      <c r="A43" s="78"/>
      <c r="B43" s="82" t="s">
        <v>36</v>
      </c>
      <c r="C43" s="382">
        <f>+C42</f>
        <v>0</v>
      </c>
      <c r="D43" s="382">
        <f>+D42</f>
        <v>0</v>
      </c>
      <c r="E43" s="384">
        <f>+C43-D43</f>
        <v>0</v>
      </c>
    </row>
    <row r="44" spans="1:9" x14ac:dyDescent="0.25">
      <c r="A44" s="39"/>
      <c r="B44" s="368" t="s">
        <v>18</v>
      </c>
      <c r="C44" s="386">
        <f>+C41+C43</f>
        <v>15000</v>
      </c>
      <c r="D44" s="386">
        <f>+D41+D43</f>
        <v>14989.49</v>
      </c>
      <c r="E44" s="386">
        <f>+C44-D44</f>
        <v>10.510000000000218</v>
      </c>
    </row>
    <row r="45" spans="1:9" ht="17.25" x14ac:dyDescent="0.3">
      <c r="A45" s="59"/>
      <c r="B45" s="278" t="s">
        <v>121</v>
      </c>
      <c r="C45" s="279">
        <f>C36+C19+C44</f>
        <v>13450681</v>
      </c>
      <c r="D45" s="279">
        <f>D36+D19+D44</f>
        <v>11305717.869999999</v>
      </c>
      <c r="E45" s="279">
        <f>E36+E19+E44</f>
        <v>2144963.1300000013</v>
      </c>
    </row>
    <row r="46" spans="1:9" x14ac:dyDescent="0.25">
      <c r="A46" s="59"/>
      <c r="B46" s="61" t="s">
        <v>35</v>
      </c>
      <c r="C46" s="62"/>
      <c r="D46" s="66">
        <f>D45/C45*100</f>
        <v>84.053126157701598</v>
      </c>
      <c r="E46" s="67" t="s">
        <v>34</v>
      </c>
    </row>
    <row r="47" spans="1:9" ht="53.25" customHeight="1" x14ac:dyDescent="0.25">
      <c r="A47" s="729" t="s">
        <v>166</v>
      </c>
      <c r="B47" s="729"/>
      <c r="C47" s="729"/>
      <c r="D47" s="729"/>
      <c r="E47" s="729"/>
    </row>
    <row r="48" spans="1:9" ht="18.75" customHeight="1" x14ac:dyDescent="0.25">
      <c r="B48" s="646"/>
      <c r="C48" s="646"/>
      <c r="D48" s="646"/>
      <c r="E48" s="646"/>
    </row>
    <row r="49" spans="1:5" x14ac:dyDescent="0.25">
      <c r="A49" t="s">
        <v>173</v>
      </c>
      <c r="C49" s="296"/>
      <c r="D49" s="297" t="s">
        <v>174</v>
      </c>
      <c r="E49" s="15" t="s">
        <v>175</v>
      </c>
    </row>
  </sheetData>
  <mergeCells count="12">
    <mergeCell ref="D1:E1"/>
    <mergeCell ref="A4:E4"/>
    <mergeCell ref="B48:E48"/>
    <mergeCell ref="A5:E5"/>
    <mergeCell ref="A6:E6"/>
    <mergeCell ref="B11:E11"/>
    <mergeCell ref="A47:E47"/>
    <mergeCell ref="B26:E26"/>
    <mergeCell ref="B28:E28"/>
    <mergeCell ref="B30:E35"/>
    <mergeCell ref="A38:E38"/>
    <mergeCell ref="B40:E40"/>
  </mergeCells>
  <pageMargins left="0.70866141732283472" right="0.70866141732283472" top="0.74803149606299213" bottom="0.74803149606299213" header="0.31496062992125984" footer="0.31496062992125984"/>
  <pageSetup paperSize="9" scale="96" fitToHeight="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5"/>
  <sheetViews>
    <sheetView workbookViewId="0">
      <selection activeCell="N6" sqref="N6"/>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631" t="s">
        <v>613</v>
      </c>
      <c r="E1" s="631"/>
    </row>
    <row r="2" spans="1:5" ht="15.75" x14ac:dyDescent="0.25">
      <c r="D2" t="s">
        <v>171</v>
      </c>
      <c r="E2" s="1"/>
    </row>
    <row r="3" spans="1:5" ht="15.75" x14ac:dyDescent="0.25">
      <c r="B3" s="17"/>
      <c r="C3" s="17"/>
      <c r="D3" t="s">
        <v>586</v>
      </c>
      <c r="E3" s="1"/>
    </row>
    <row r="4" spans="1:5" ht="15.75" customHeight="1" x14ac:dyDescent="0.25">
      <c r="A4" s="650" t="s">
        <v>122</v>
      </c>
      <c r="B4" s="650"/>
      <c r="C4" s="650"/>
      <c r="D4" s="650"/>
      <c r="E4" s="650"/>
    </row>
    <row r="5" spans="1:5" ht="44.25" customHeight="1" x14ac:dyDescent="0.25">
      <c r="A5" s="632" t="s">
        <v>322</v>
      </c>
      <c r="B5" s="632"/>
      <c r="C5" s="632"/>
      <c r="D5" s="632"/>
      <c r="E5" s="632"/>
    </row>
    <row r="6" spans="1:5" ht="358.5" customHeight="1" x14ac:dyDescent="0.25">
      <c r="A6" s="750" t="s">
        <v>323</v>
      </c>
      <c r="B6" s="750"/>
      <c r="C6" s="750"/>
      <c r="D6" s="750"/>
      <c r="E6" s="750"/>
    </row>
    <row r="7" spans="1:5" ht="15.75" x14ac:dyDescent="0.25">
      <c r="A7" s="751" t="s">
        <v>287</v>
      </c>
      <c r="B7" s="751"/>
      <c r="C7" s="751"/>
      <c r="D7" s="291">
        <f>D10</f>
        <v>150000</v>
      </c>
      <c r="E7" s="290" t="s">
        <v>32</v>
      </c>
    </row>
    <row r="8" spans="1:5" ht="15.75" x14ac:dyDescent="0.25">
      <c r="A8" s="41" t="s">
        <v>22</v>
      </c>
      <c r="B8" s="209" t="s">
        <v>12</v>
      </c>
      <c r="C8" s="10" t="s">
        <v>1</v>
      </c>
      <c r="D8" s="10" t="s">
        <v>11</v>
      </c>
      <c r="E8" s="10" t="s">
        <v>5</v>
      </c>
    </row>
    <row r="9" spans="1:5" ht="45" x14ac:dyDescent="0.25">
      <c r="A9" s="43">
        <v>112152</v>
      </c>
      <c r="B9" s="280" t="s">
        <v>167</v>
      </c>
      <c r="C9" s="100">
        <v>150000</v>
      </c>
      <c r="D9" s="36">
        <v>150000</v>
      </c>
      <c r="E9" s="281">
        <f>C9-D9</f>
        <v>0</v>
      </c>
    </row>
    <row r="10" spans="1:5" ht="16.5" x14ac:dyDescent="0.25">
      <c r="A10" s="59"/>
      <c r="B10" s="130" t="s">
        <v>91</v>
      </c>
      <c r="C10" s="129">
        <f>C9</f>
        <v>150000</v>
      </c>
      <c r="D10" s="7">
        <f>+D9</f>
        <v>150000</v>
      </c>
      <c r="E10" s="7">
        <f>C10-D10</f>
        <v>0</v>
      </c>
    </row>
    <row r="11" spans="1:5" ht="15.75" x14ac:dyDescent="0.25">
      <c r="A11" s="68"/>
      <c r="B11" s="132" t="s">
        <v>33</v>
      </c>
      <c r="C11" s="55"/>
      <c r="D11" s="69">
        <f>D10/C10*100</f>
        <v>100</v>
      </c>
      <c r="E11" s="67" t="s">
        <v>34</v>
      </c>
    </row>
    <row r="13" spans="1:5" x14ac:dyDescent="0.25">
      <c r="A13" s="752" t="s">
        <v>324</v>
      </c>
      <c r="B13" s="752"/>
      <c r="C13" s="752"/>
      <c r="D13" s="752"/>
      <c r="E13" s="752"/>
    </row>
    <row r="14" spans="1:5" ht="33.75" customHeight="1" x14ac:dyDescent="0.25">
      <c r="A14" s="635"/>
      <c r="B14" s="635"/>
      <c r="C14" s="635"/>
      <c r="D14" s="635"/>
      <c r="E14" s="635"/>
    </row>
    <row r="15" spans="1:5" x14ac:dyDescent="0.25">
      <c r="A15" t="s">
        <v>173</v>
      </c>
      <c r="C15" s="303"/>
      <c r="D15" s="149" t="s">
        <v>174</v>
      </c>
      <c r="E15" t="s">
        <v>175</v>
      </c>
    </row>
  </sheetData>
  <mergeCells count="7">
    <mergeCell ref="D1:E1"/>
    <mergeCell ref="A4:E4"/>
    <mergeCell ref="A5:E5"/>
    <mergeCell ref="A6:E6"/>
    <mergeCell ref="A14:E14"/>
    <mergeCell ref="A7:C7"/>
    <mergeCell ref="A13:E1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2"/>
  <sheetViews>
    <sheetView workbookViewId="0">
      <selection activeCell="M11" sqref="M11"/>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ht="15.75" x14ac:dyDescent="0.25">
      <c r="D1" s="1" t="s">
        <v>614</v>
      </c>
    </row>
    <row r="2" spans="1:5" ht="15.75" x14ac:dyDescent="0.25">
      <c r="D2" t="s">
        <v>171</v>
      </c>
      <c r="E2" s="1"/>
    </row>
    <row r="3" spans="1:5" ht="15.75" x14ac:dyDescent="0.25">
      <c r="D3" t="s">
        <v>586</v>
      </c>
      <c r="E3" s="1"/>
    </row>
    <row r="4" spans="1:5" ht="15.75" x14ac:dyDescent="0.25">
      <c r="A4" s="650" t="s">
        <v>122</v>
      </c>
      <c r="B4" s="650"/>
      <c r="C4" s="650"/>
      <c r="D4" s="650"/>
      <c r="E4" s="650"/>
    </row>
    <row r="5" spans="1:5" ht="15.75" x14ac:dyDescent="0.25">
      <c r="A5" s="650" t="s">
        <v>23</v>
      </c>
      <c r="B5" s="650"/>
      <c r="C5" s="650"/>
      <c r="D5" s="650"/>
      <c r="E5" s="650"/>
    </row>
    <row r="6" spans="1:5" ht="15.75" x14ac:dyDescent="0.25">
      <c r="A6" s="650" t="s">
        <v>24</v>
      </c>
      <c r="B6" s="650"/>
      <c r="C6" s="650"/>
      <c r="D6" s="650"/>
      <c r="E6" s="650"/>
    </row>
    <row r="7" spans="1:5" ht="15.75" x14ac:dyDescent="0.25">
      <c r="A7" s="753" t="s">
        <v>332</v>
      </c>
      <c r="B7" s="753"/>
      <c r="C7" s="753"/>
      <c r="D7" s="753"/>
      <c r="E7" s="753"/>
    </row>
    <row r="8" spans="1:5" ht="81" customHeight="1" x14ac:dyDescent="0.25">
      <c r="A8" s="652" t="s">
        <v>331</v>
      </c>
      <c r="B8" s="652"/>
      <c r="C8" s="652"/>
      <c r="D8" s="652"/>
      <c r="E8" s="652"/>
    </row>
    <row r="9" spans="1:5" ht="15.75" x14ac:dyDescent="0.25">
      <c r="A9" s="652" t="s">
        <v>76</v>
      </c>
      <c r="B9" s="652"/>
      <c r="C9" s="652"/>
      <c r="D9" s="652"/>
      <c r="E9" s="652"/>
    </row>
    <row r="10" spans="1:5" ht="48.75" customHeight="1" x14ac:dyDescent="0.25">
      <c r="A10" s="652" t="s">
        <v>126</v>
      </c>
      <c r="B10" s="652"/>
      <c r="C10" s="652"/>
      <c r="D10" s="652"/>
      <c r="E10" s="652"/>
    </row>
    <row r="11" spans="1:5" ht="66.75" customHeight="1" x14ac:dyDescent="0.25">
      <c r="A11" s="652" t="s">
        <v>127</v>
      </c>
      <c r="B11" s="652"/>
      <c r="C11" s="652"/>
      <c r="D11" s="652"/>
      <c r="E11" s="652"/>
    </row>
    <row r="12" spans="1:5" ht="49.5" customHeight="1" x14ac:dyDescent="0.25">
      <c r="A12" s="652" t="s">
        <v>128</v>
      </c>
      <c r="B12" s="652"/>
      <c r="C12" s="652"/>
      <c r="D12" s="652"/>
      <c r="E12" s="652"/>
    </row>
    <row r="13" spans="1:5" ht="161.25" customHeight="1" x14ac:dyDescent="0.25">
      <c r="A13" s="652" t="s">
        <v>129</v>
      </c>
      <c r="B13" s="652"/>
      <c r="C13" s="652"/>
      <c r="D13" s="652"/>
      <c r="E13" s="652"/>
    </row>
    <row r="14" spans="1:5" ht="15.75" x14ac:dyDescent="0.25">
      <c r="A14" s="47" t="s">
        <v>283</v>
      </c>
      <c r="B14" s="47"/>
      <c r="C14" s="47"/>
      <c r="D14" s="198">
        <f>+D18</f>
        <v>19000</v>
      </c>
      <c r="E14" s="47" t="s">
        <v>32</v>
      </c>
    </row>
    <row r="15" spans="1:5" ht="3.75" customHeight="1" x14ac:dyDescent="0.25">
      <c r="B15" s="188"/>
      <c r="C15" s="53"/>
      <c r="D15" s="93"/>
      <c r="E15" s="188"/>
    </row>
    <row r="16" spans="1:5" ht="15.75" x14ac:dyDescent="0.25">
      <c r="A16" s="45" t="s">
        <v>22</v>
      </c>
      <c r="B16" s="10" t="s">
        <v>12</v>
      </c>
      <c r="C16" s="10" t="s">
        <v>1</v>
      </c>
      <c r="D16" s="10" t="s">
        <v>11</v>
      </c>
      <c r="E16" s="10" t="s">
        <v>5</v>
      </c>
    </row>
    <row r="17" spans="1:5" ht="94.5" x14ac:dyDescent="0.25">
      <c r="A17" s="46">
        <v>117660</v>
      </c>
      <c r="B17" s="1" t="s">
        <v>25</v>
      </c>
      <c r="C17" s="35">
        <v>58500</v>
      </c>
      <c r="D17" s="36">
        <v>19000</v>
      </c>
      <c r="E17" s="37">
        <f>C17-D17</f>
        <v>39500</v>
      </c>
    </row>
    <row r="18" spans="1:5" ht="15.75" x14ac:dyDescent="0.25">
      <c r="A18" s="46"/>
      <c r="B18" s="5" t="s">
        <v>3</v>
      </c>
      <c r="C18" s="7">
        <f>SUM(C17:C17)</f>
        <v>58500</v>
      </c>
      <c r="D18" s="7">
        <f>SUM(D17:D17)</f>
        <v>19000</v>
      </c>
      <c r="E18" s="7">
        <f>E17</f>
        <v>39500</v>
      </c>
    </row>
    <row r="19" spans="1:5" ht="15.75" x14ac:dyDescent="0.25">
      <c r="A19" s="91"/>
      <c r="B19" s="70" t="s">
        <v>35</v>
      </c>
      <c r="C19" s="62"/>
      <c r="D19" s="66">
        <f>D18/C18*100</f>
        <v>32.478632478632477</v>
      </c>
      <c r="E19" s="67" t="s">
        <v>34</v>
      </c>
    </row>
    <row r="20" spans="1:5" ht="27.75" customHeight="1" x14ac:dyDescent="0.25">
      <c r="A20" s="716" t="s">
        <v>133</v>
      </c>
      <c r="B20" s="716"/>
      <c r="C20" s="716"/>
      <c r="D20" s="716"/>
      <c r="E20" s="716"/>
    </row>
    <row r="22" spans="1:5" x14ac:dyDescent="0.25">
      <c r="A22" t="s">
        <v>173</v>
      </c>
      <c r="C22" s="303"/>
      <c r="D22" s="149" t="s">
        <v>174</v>
      </c>
      <c r="E22" t="s">
        <v>175</v>
      </c>
    </row>
  </sheetData>
  <mergeCells count="11">
    <mergeCell ref="A13:E13"/>
    <mergeCell ref="A20:E20"/>
    <mergeCell ref="A9:E9"/>
    <mergeCell ref="A10:E10"/>
    <mergeCell ref="A11:E11"/>
    <mergeCell ref="A12:E12"/>
    <mergeCell ref="A4:E4"/>
    <mergeCell ref="A5:E5"/>
    <mergeCell ref="A6:E6"/>
    <mergeCell ref="A7:E7"/>
    <mergeCell ref="A8:E8"/>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7"/>
  <sheetViews>
    <sheetView workbookViewId="0">
      <selection activeCell="G14" sqref="G14"/>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631" t="s">
        <v>615</v>
      </c>
      <c r="E1" s="631"/>
    </row>
    <row r="2" spans="1:6" x14ac:dyDescent="0.25">
      <c r="D2" t="s">
        <v>171</v>
      </c>
      <c r="E2" s="1"/>
    </row>
    <row r="3" spans="1:6" x14ac:dyDescent="0.25">
      <c r="D3" t="s">
        <v>600</v>
      </c>
      <c r="E3" s="1"/>
    </row>
    <row r="4" spans="1:6" ht="15.75" customHeight="1" x14ac:dyDescent="0.25">
      <c r="A4" s="632" t="s">
        <v>122</v>
      </c>
      <c r="B4" s="632"/>
      <c r="C4" s="632"/>
      <c r="D4" s="632"/>
      <c r="E4" s="632"/>
    </row>
    <row r="5" spans="1:6" ht="39.75" customHeight="1" x14ac:dyDescent="0.25">
      <c r="A5" s="632" t="s">
        <v>215</v>
      </c>
      <c r="B5" s="632"/>
      <c r="C5" s="632"/>
      <c r="D5" s="632"/>
      <c r="E5" s="632"/>
    </row>
    <row r="6" spans="1:6" ht="240" customHeight="1" x14ac:dyDescent="0.25">
      <c r="A6" s="757" t="s">
        <v>216</v>
      </c>
      <c r="B6" s="757"/>
      <c r="C6" s="757"/>
      <c r="D6" s="757"/>
      <c r="E6" s="757"/>
      <c r="F6" s="1"/>
    </row>
    <row r="7" spans="1:6" x14ac:dyDescent="0.25">
      <c r="A7" s="47" t="s">
        <v>283</v>
      </c>
      <c r="D7" s="373">
        <f>+D11</f>
        <v>0</v>
      </c>
      <c r="E7" s="47" t="s">
        <v>32</v>
      </c>
    </row>
    <row r="8" spans="1:6" ht="58.5" customHeight="1" x14ac:dyDescent="0.25">
      <c r="A8" s="10" t="s">
        <v>22</v>
      </c>
      <c r="B8" s="10" t="s">
        <v>12</v>
      </c>
      <c r="C8" s="10" t="s">
        <v>1</v>
      </c>
      <c r="D8" s="10" t="s">
        <v>11</v>
      </c>
      <c r="E8" s="10" t="s">
        <v>5</v>
      </c>
    </row>
    <row r="9" spans="1:6" ht="31.5" customHeight="1" x14ac:dyDescent="0.25">
      <c r="A9" s="34">
        <v>118340</v>
      </c>
      <c r="B9" s="196" t="s">
        <v>333</v>
      </c>
      <c r="C9" s="35">
        <v>164100</v>
      </c>
      <c r="D9" s="36">
        <v>0</v>
      </c>
      <c r="E9" s="37">
        <f>C9-D9</f>
        <v>164100</v>
      </c>
    </row>
    <row r="10" spans="1:6" x14ac:dyDescent="0.25">
      <c r="A10" s="72"/>
      <c r="B10" s="197"/>
      <c r="C10" s="35"/>
      <c r="D10" s="36"/>
      <c r="E10" s="37"/>
    </row>
    <row r="11" spans="1:6" x14ac:dyDescent="0.25">
      <c r="A11" s="755" t="s">
        <v>18</v>
      </c>
      <c r="B11" s="756"/>
      <c r="C11" s="48">
        <f>SUM(C9:C10)</f>
        <v>164100</v>
      </c>
      <c r="D11" s="48">
        <f>SUM(D9:D10)</f>
        <v>0</v>
      </c>
      <c r="E11" s="48">
        <f>SUM(E9:E10)</f>
        <v>164100</v>
      </c>
    </row>
    <row r="12" spans="1:6" x14ac:dyDescent="0.25">
      <c r="A12" s="74"/>
      <c r="B12" s="70" t="s">
        <v>35</v>
      </c>
      <c r="C12" s="75">
        <f>D11/C11*100</f>
        <v>0</v>
      </c>
      <c r="D12" s="56" t="s">
        <v>34</v>
      </c>
      <c r="E12" s="39"/>
    </row>
    <row r="14" spans="1:6" ht="31.5" customHeight="1" x14ac:dyDescent="0.25">
      <c r="A14" s="716"/>
      <c r="B14" s="716"/>
      <c r="C14" s="716"/>
      <c r="D14" s="716"/>
      <c r="E14" s="716"/>
    </row>
    <row r="17" spans="1:5" x14ac:dyDescent="0.25">
      <c r="A17" s="754" t="s">
        <v>173</v>
      </c>
      <c r="B17" s="754"/>
      <c r="C17" s="179"/>
      <c r="D17" s="28" t="s">
        <v>174</v>
      </c>
      <c r="E17" t="s">
        <v>175</v>
      </c>
    </row>
  </sheetData>
  <mergeCells count="7">
    <mergeCell ref="D1:E1"/>
    <mergeCell ref="A17:B17"/>
    <mergeCell ref="A14:E14"/>
    <mergeCell ref="A11:B11"/>
    <mergeCell ref="A4:E4"/>
    <mergeCell ref="A5:E5"/>
    <mergeCell ref="A6:E6"/>
  </mergeCells>
  <pageMargins left="0.39370078740157483" right="0.39370078740157483"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6"/>
  <sheetViews>
    <sheetView workbookViewId="0">
      <selection activeCell="J8" sqref="J8"/>
    </sheetView>
  </sheetViews>
  <sheetFormatPr defaultRowHeight="15" x14ac:dyDescent="0.25"/>
  <cols>
    <col min="1" max="1" width="6.7109375" customWidth="1"/>
    <col min="2" max="2" width="46.140625" customWidth="1"/>
    <col min="3" max="3" width="15.140625" customWidth="1"/>
    <col min="4" max="4" width="14.28515625" customWidth="1"/>
    <col min="5" max="5" width="13" customWidth="1"/>
  </cols>
  <sheetData>
    <row r="1" spans="1:14" x14ac:dyDescent="0.25">
      <c r="D1" s="631" t="s">
        <v>616</v>
      </c>
      <c r="E1" s="631"/>
    </row>
    <row r="2" spans="1:14" ht="15.75" x14ac:dyDescent="0.25">
      <c r="D2" t="s">
        <v>171</v>
      </c>
      <c r="E2" s="1"/>
    </row>
    <row r="3" spans="1:14" ht="15.75" x14ac:dyDescent="0.25">
      <c r="B3" s="17"/>
      <c r="C3" s="17"/>
      <c r="D3" t="s">
        <v>586</v>
      </c>
      <c r="E3" s="1"/>
    </row>
    <row r="4" spans="1:14" ht="15.75" customHeight="1" x14ac:dyDescent="0.25">
      <c r="A4" s="650" t="s">
        <v>122</v>
      </c>
      <c r="B4" s="650"/>
      <c r="C4" s="650"/>
      <c r="D4" s="650"/>
      <c r="E4" s="650"/>
    </row>
    <row r="5" spans="1:14" ht="34.5" customHeight="1" x14ac:dyDescent="0.25">
      <c r="A5" s="626" t="s">
        <v>334</v>
      </c>
      <c r="B5" s="626"/>
      <c r="C5" s="626"/>
      <c r="D5" s="626"/>
      <c r="E5" s="626"/>
    </row>
    <row r="6" spans="1:14" ht="46.5" customHeight="1" x14ac:dyDescent="0.25">
      <c r="A6" s="647" t="s">
        <v>130</v>
      </c>
      <c r="B6" s="647"/>
      <c r="C6" s="647"/>
      <c r="D6" s="647"/>
      <c r="E6" s="647"/>
    </row>
    <row r="7" spans="1:14" ht="81.75" customHeight="1" x14ac:dyDescent="0.25">
      <c r="A7" s="647" t="s">
        <v>131</v>
      </c>
      <c r="B7" s="647"/>
      <c r="C7" s="647"/>
      <c r="D7" s="647"/>
      <c r="E7" s="647"/>
    </row>
    <row r="8" spans="1:14" ht="81" customHeight="1" x14ac:dyDescent="0.25">
      <c r="A8" s="647" t="s">
        <v>132</v>
      </c>
      <c r="B8" s="647"/>
      <c r="C8" s="647"/>
      <c r="D8" s="647"/>
      <c r="E8" s="647"/>
    </row>
    <row r="9" spans="1:14" ht="15.75" x14ac:dyDescent="0.25">
      <c r="A9" s="47" t="s">
        <v>283</v>
      </c>
      <c r="B9" s="47"/>
      <c r="C9" s="449">
        <f>+C11+C12</f>
        <v>174500</v>
      </c>
      <c r="D9" s="397" t="s">
        <v>32</v>
      </c>
      <c r="E9" s="190"/>
      <c r="J9" s="188"/>
      <c r="K9" s="188"/>
      <c r="L9" s="188"/>
      <c r="M9" s="188"/>
      <c r="N9" s="188"/>
    </row>
    <row r="10" spans="1:14" ht="15.75" x14ac:dyDescent="0.25">
      <c r="A10" s="47"/>
      <c r="B10" s="47"/>
      <c r="C10" s="449"/>
      <c r="D10" s="397"/>
      <c r="E10" s="464"/>
      <c r="J10" s="463"/>
      <c r="K10" s="463"/>
      <c r="L10" s="463"/>
      <c r="M10" s="463"/>
      <c r="N10" s="463"/>
    </row>
    <row r="11" spans="1:14" ht="15.75" x14ac:dyDescent="0.25">
      <c r="A11" s="47"/>
      <c r="B11" s="463" t="s">
        <v>28</v>
      </c>
      <c r="C11" s="449">
        <f>+D18</f>
        <v>153000</v>
      </c>
      <c r="D11" s="397" t="s">
        <v>32</v>
      </c>
      <c r="E11" s="464"/>
      <c r="J11" s="463"/>
      <c r="K11" s="463"/>
      <c r="L11" s="463"/>
      <c r="M11" s="463"/>
      <c r="N11" s="463"/>
    </row>
    <row r="12" spans="1:14" ht="15.75" customHeight="1" x14ac:dyDescent="0.25">
      <c r="B12" s="464" t="s">
        <v>29</v>
      </c>
      <c r="C12" s="600">
        <f>+D20</f>
        <v>21500</v>
      </c>
      <c r="D12" s="397" t="s">
        <v>32</v>
      </c>
      <c r="E12" s="1"/>
      <c r="K12" s="188"/>
      <c r="L12" s="53"/>
      <c r="M12" s="93"/>
      <c r="N12" s="188"/>
    </row>
    <row r="13" spans="1:14" ht="30" x14ac:dyDescent="0.25">
      <c r="A13" s="95" t="s">
        <v>22</v>
      </c>
      <c r="B13" s="40" t="s">
        <v>12</v>
      </c>
      <c r="C13" s="10" t="s">
        <v>1</v>
      </c>
      <c r="D13" s="10" t="s">
        <v>11</v>
      </c>
      <c r="E13" s="10" t="s">
        <v>5</v>
      </c>
    </row>
    <row r="14" spans="1:14" ht="15.75" x14ac:dyDescent="0.25">
      <c r="A14" s="39"/>
      <c r="B14" s="133"/>
      <c r="C14" s="8"/>
      <c r="D14" s="6"/>
      <c r="E14" s="16"/>
    </row>
    <row r="15" spans="1:14" ht="15.75" x14ac:dyDescent="0.25">
      <c r="A15" s="78">
        <v>117130</v>
      </c>
      <c r="B15" s="18" t="s">
        <v>194</v>
      </c>
      <c r="C15" s="35"/>
      <c r="D15" s="36"/>
      <c r="E15" s="37">
        <f>C15-D15</f>
        <v>0</v>
      </c>
    </row>
    <row r="16" spans="1:14" ht="31.5" x14ac:dyDescent="0.25">
      <c r="A16" s="78"/>
      <c r="B16" s="372" t="s">
        <v>337</v>
      </c>
      <c r="C16" s="35">
        <v>37250</v>
      </c>
      <c r="D16" s="36">
        <v>30000</v>
      </c>
      <c r="E16" s="539">
        <f>+C16-D16</f>
        <v>7250</v>
      </c>
    </row>
    <row r="17" spans="1:5" ht="31.5" x14ac:dyDescent="0.25">
      <c r="A17" s="78"/>
      <c r="B17" s="372" t="s">
        <v>335</v>
      </c>
      <c r="C17" s="35">
        <v>165750</v>
      </c>
      <c r="D17" s="36">
        <v>123000</v>
      </c>
      <c r="E17" s="539">
        <f t="shared" ref="E17:E18" si="0">+C17-D17</f>
        <v>42750</v>
      </c>
    </row>
    <row r="18" spans="1:5" ht="15.75" x14ac:dyDescent="0.25">
      <c r="B18" s="236" t="s">
        <v>15</v>
      </c>
      <c r="C18" s="48">
        <f>SUM(C16:C17)</f>
        <v>203000</v>
      </c>
      <c r="D18" s="137">
        <v>153000</v>
      </c>
      <c r="E18" s="541">
        <f t="shared" si="0"/>
        <v>50000</v>
      </c>
    </row>
    <row r="19" spans="1:5" ht="31.5" x14ac:dyDescent="0.25">
      <c r="A19" s="78">
        <v>117650</v>
      </c>
      <c r="B19" s="372" t="s">
        <v>336</v>
      </c>
      <c r="C19" s="35">
        <v>21500</v>
      </c>
      <c r="D19" s="36">
        <v>21500</v>
      </c>
      <c r="E19" s="37">
        <f>+C19-D19</f>
        <v>0</v>
      </c>
    </row>
    <row r="20" spans="1:5" ht="15.75" x14ac:dyDescent="0.25">
      <c r="A20" s="59"/>
      <c r="B20" s="236" t="s">
        <v>18</v>
      </c>
      <c r="C20" s="129">
        <f>+C19</f>
        <v>21500</v>
      </c>
      <c r="D20" s="129">
        <f>+D19</f>
        <v>21500</v>
      </c>
      <c r="E20" s="37">
        <f>+C20-D20</f>
        <v>0</v>
      </c>
    </row>
    <row r="21" spans="1:5" ht="17.25" x14ac:dyDescent="0.3">
      <c r="A21" s="59"/>
      <c r="B21" s="278" t="s">
        <v>121</v>
      </c>
      <c r="C21" s="129">
        <f>+C18+C20</f>
        <v>224500</v>
      </c>
      <c r="D21" s="129">
        <f>+D18+D20</f>
        <v>174500</v>
      </c>
      <c r="E21" s="540">
        <f>+C21-D21</f>
        <v>50000</v>
      </c>
    </row>
    <row r="22" spans="1:5" ht="15.75" x14ac:dyDescent="0.25">
      <c r="A22" s="68"/>
      <c r="B22" s="62" t="s">
        <v>33</v>
      </c>
      <c r="C22" s="55"/>
      <c r="D22" s="69">
        <f>+D21/C21*100</f>
        <v>77.728285077951</v>
      </c>
      <c r="E22" s="67" t="s">
        <v>34</v>
      </c>
    </row>
    <row r="24" spans="1:5" x14ac:dyDescent="0.25">
      <c r="A24" s="752" t="s">
        <v>133</v>
      </c>
      <c r="B24" s="752"/>
      <c r="C24" s="752"/>
      <c r="D24" s="752"/>
      <c r="E24" s="752"/>
    </row>
    <row r="26" spans="1:5" x14ac:dyDescent="0.25">
      <c r="A26" t="s">
        <v>173</v>
      </c>
      <c r="C26" s="303"/>
      <c r="D26" s="149" t="s">
        <v>174</v>
      </c>
      <c r="E26" t="s">
        <v>175</v>
      </c>
    </row>
  </sheetData>
  <mergeCells count="7">
    <mergeCell ref="D1:E1"/>
    <mergeCell ref="A4:E4"/>
    <mergeCell ref="A5:E5"/>
    <mergeCell ref="A24:E24"/>
    <mergeCell ref="A6:E6"/>
    <mergeCell ref="A7:E7"/>
    <mergeCell ref="A8:E8"/>
  </mergeCells>
  <pageMargins left="0.39370078740157483" right="0.39370078740157483"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0"/>
  <sheetViews>
    <sheetView workbookViewId="0">
      <selection activeCell="A5" sqref="A5:G5"/>
    </sheetView>
  </sheetViews>
  <sheetFormatPr defaultRowHeight="15.75" x14ac:dyDescent="0.25"/>
  <cols>
    <col min="1" max="1" width="7.140625" customWidth="1"/>
    <col min="2" max="2" width="31.28515625" style="15" customWidth="1"/>
    <col min="3" max="3" width="8.28515625" style="15" customWidth="1"/>
    <col min="4" max="4" width="5.7109375" style="15" customWidth="1"/>
    <col min="5" max="5" width="13.85546875" style="15" customWidth="1"/>
    <col min="6" max="6" width="15.28515625" style="24" customWidth="1"/>
    <col min="7" max="7" width="14.5703125" style="15" customWidth="1"/>
    <col min="9" max="9" width="13.28515625" customWidth="1"/>
  </cols>
  <sheetData>
    <row r="1" spans="1:7" ht="16.5" customHeight="1" x14ac:dyDescent="0.25">
      <c r="B1" s="1"/>
      <c r="C1" s="1"/>
      <c r="D1" s="1"/>
      <c r="E1" s="1"/>
      <c r="F1" s="1" t="s">
        <v>617</v>
      </c>
      <c r="G1"/>
    </row>
    <row r="2" spans="1:7" x14ac:dyDescent="0.25">
      <c r="B2" s="1"/>
      <c r="C2" s="1"/>
      <c r="D2" s="1"/>
      <c r="E2" s="1"/>
      <c r="F2" t="s">
        <v>171</v>
      </c>
      <c r="G2" s="1"/>
    </row>
    <row r="3" spans="1:7" x14ac:dyDescent="0.25">
      <c r="B3" s="1"/>
      <c r="C3" s="1"/>
      <c r="D3" s="1"/>
      <c r="E3" s="1"/>
      <c r="F3" t="s">
        <v>586</v>
      </c>
      <c r="G3" s="1"/>
    </row>
    <row r="4" spans="1:7" x14ac:dyDescent="0.25">
      <c r="A4" s="633" t="s">
        <v>122</v>
      </c>
      <c r="B4" s="633"/>
      <c r="C4" s="633"/>
      <c r="D4" s="633"/>
      <c r="E4" s="633"/>
      <c r="F4" s="633"/>
      <c r="G4" s="633"/>
    </row>
    <row r="5" spans="1:7" ht="33" customHeight="1" x14ac:dyDescent="0.25">
      <c r="A5" s="627" t="s">
        <v>338</v>
      </c>
      <c r="B5" s="627"/>
      <c r="C5" s="627"/>
      <c r="D5" s="627"/>
      <c r="E5" s="627"/>
      <c r="F5" s="627"/>
      <c r="G5" s="627"/>
    </row>
    <row r="6" spans="1:7" ht="105.75" customHeight="1" x14ac:dyDescent="0.25">
      <c r="A6" s="635" t="s">
        <v>49</v>
      </c>
      <c r="B6" s="635"/>
      <c r="C6" s="635"/>
      <c r="D6" s="635"/>
      <c r="E6" s="635"/>
      <c r="F6" s="635"/>
      <c r="G6" s="635"/>
    </row>
    <row r="7" spans="1:7" x14ac:dyDescent="0.25">
      <c r="A7" s="47" t="s">
        <v>283</v>
      </c>
      <c r="B7" s="47"/>
      <c r="C7" s="47"/>
      <c r="D7" s="47"/>
      <c r="E7" s="340">
        <f>+E8+E9</f>
        <v>14233021.49</v>
      </c>
      <c r="F7" s="93" t="s">
        <v>32</v>
      </c>
      <c r="G7" s="47"/>
    </row>
    <row r="8" spans="1:7" x14ac:dyDescent="0.25">
      <c r="B8" s="76" t="s">
        <v>28</v>
      </c>
      <c r="C8" s="76"/>
      <c r="D8" s="76"/>
      <c r="E8" s="53">
        <f>F30</f>
        <v>11138280.35</v>
      </c>
      <c r="F8" s="93" t="s">
        <v>32</v>
      </c>
      <c r="G8" s="76"/>
    </row>
    <row r="9" spans="1:7" ht="18.75" customHeight="1" x14ac:dyDescent="0.25">
      <c r="B9" s="49" t="s">
        <v>29</v>
      </c>
      <c r="C9" s="77"/>
      <c r="D9" s="77"/>
      <c r="E9" s="52">
        <f>F53</f>
        <v>3094741.14</v>
      </c>
      <c r="F9" s="92" t="s">
        <v>32</v>
      </c>
      <c r="G9" s="77"/>
    </row>
    <row r="10" spans="1:7" ht="30.75" customHeight="1" x14ac:dyDescent="0.25">
      <c r="A10" s="50" t="s">
        <v>22</v>
      </c>
      <c r="B10" s="10" t="s">
        <v>30</v>
      </c>
      <c r="C10" s="2" t="s">
        <v>31</v>
      </c>
      <c r="D10" s="2" t="s">
        <v>19</v>
      </c>
      <c r="E10" s="2" t="s">
        <v>8</v>
      </c>
      <c r="F10" s="23" t="s">
        <v>9</v>
      </c>
      <c r="G10" s="2" t="s">
        <v>5</v>
      </c>
    </row>
    <row r="11" spans="1:7" x14ac:dyDescent="0.25">
      <c r="B11" s="653" t="s">
        <v>16</v>
      </c>
      <c r="C11" s="654"/>
      <c r="D11" s="654"/>
      <c r="E11" s="654"/>
      <c r="F11" s="654"/>
      <c r="G11" s="655"/>
    </row>
    <row r="12" spans="1:7" ht="31.5" x14ac:dyDescent="0.25">
      <c r="A12" s="81">
        <v>116013</v>
      </c>
      <c r="B12" s="5" t="s">
        <v>39</v>
      </c>
      <c r="C12" s="3">
        <v>764369</v>
      </c>
      <c r="D12" s="3" t="s">
        <v>41</v>
      </c>
      <c r="E12" s="374">
        <v>7895000</v>
      </c>
      <c r="F12" s="375">
        <v>6992389.0800000001</v>
      </c>
      <c r="G12" s="6">
        <f>E12-F12</f>
        <v>902610.91999999993</v>
      </c>
    </row>
    <row r="13" spans="1:7" x14ac:dyDescent="0.25">
      <c r="A13" s="57"/>
      <c r="B13" s="213" t="s">
        <v>40</v>
      </c>
      <c r="C13" s="273">
        <v>5843</v>
      </c>
      <c r="D13" s="273" t="s">
        <v>42</v>
      </c>
      <c r="E13" s="542">
        <v>200000</v>
      </c>
      <c r="F13" s="543">
        <v>98326.84</v>
      </c>
      <c r="G13" s="275">
        <f t="shared" ref="G13:G16" si="0">E13-F13</f>
        <v>101673.16</v>
      </c>
    </row>
    <row r="14" spans="1:7" ht="31.5" x14ac:dyDescent="0.25">
      <c r="A14" s="39"/>
      <c r="B14" s="5" t="s">
        <v>193</v>
      </c>
      <c r="C14" s="3"/>
      <c r="D14" s="3"/>
      <c r="E14" s="544">
        <v>406000</v>
      </c>
      <c r="F14" s="375">
        <v>398947.5</v>
      </c>
      <c r="G14" s="6">
        <f t="shared" si="0"/>
        <v>7052.5</v>
      </c>
    </row>
    <row r="15" spans="1:7" ht="15.75" customHeight="1" x14ac:dyDescent="0.25">
      <c r="A15" s="760" t="s">
        <v>339</v>
      </c>
      <c r="B15" s="760"/>
      <c r="C15" s="760"/>
      <c r="D15" s="760"/>
      <c r="E15" s="760"/>
      <c r="F15" s="760"/>
      <c r="G15" s="760"/>
    </row>
    <row r="16" spans="1:7" ht="31.5" x14ac:dyDescent="0.25">
      <c r="A16" s="39"/>
      <c r="B16" s="5" t="s">
        <v>194</v>
      </c>
      <c r="C16" s="3"/>
      <c r="D16" s="3"/>
      <c r="E16" s="375">
        <v>2807000</v>
      </c>
      <c r="F16" s="375">
        <v>2488468.9300000002</v>
      </c>
      <c r="G16" s="6">
        <f t="shared" si="0"/>
        <v>318531.06999999983</v>
      </c>
    </row>
    <row r="17" spans="1:13" ht="62.25" customHeight="1" x14ac:dyDescent="0.25">
      <c r="A17" s="659" t="s">
        <v>340</v>
      </c>
      <c r="B17" s="660"/>
      <c r="C17" s="660"/>
      <c r="D17" s="660"/>
      <c r="E17" s="660"/>
      <c r="F17" s="660"/>
      <c r="G17" s="661"/>
    </row>
    <row r="18" spans="1:13" ht="63" customHeight="1" x14ac:dyDescent="0.25">
      <c r="A18" s="662"/>
      <c r="B18" s="663"/>
      <c r="C18" s="663"/>
      <c r="D18" s="663"/>
      <c r="E18" s="663"/>
      <c r="F18" s="663"/>
      <c r="G18" s="664"/>
    </row>
    <row r="19" spans="1:13" ht="63" customHeight="1" x14ac:dyDescent="0.25">
      <c r="A19" s="662"/>
      <c r="B19" s="663"/>
      <c r="C19" s="663"/>
      <c r="D19" s="663"/>
      <c r="E19" s="663"/>
      <c r="F19" s="663"/>
      <c r="G19" s="664"/>
      <c r="M19" s="369"/>
    </row>
    <row r="20" spans="1:13" ht="47.25" customHeight="1" x14ac:dyDescent="0.25">
      <c r="A20" s="662"/>
      <c r="B20" s="663"/>
      <c r="C20" s="663"/>
      <c r="D20" s="663"/>
      <c r="E20" s="663"/>
      <c r="F20" s="663"/>
      <c r="G20" s="664"/>
    </row>
    <row r="21" spans="1:13" ht="43.5" customHeight="1" x14ac:dyDescent="0.25">
      <c r="A21" s="662"/>
      <c r="B21" s="663"/>
      <c r="C21" s="663"/>
      <c r="D21" s="663"/>
      <c r="E21" s="663"/>
      <c r="F21" s="663"/>
      <c r="G21" s="664"/>
    </row>
    <row r="22" spans="1:13" ht="13.5" hidden="1" customHeight="1" x14ac:dyDescent="0.25">
      <c r="A22" s="662"/>
      <c r="B22" s="663"/>
      <c r="C22" s="663"/>
      <c r="D22" s="663"/>
      <c r="E22" s="663"/>
      <c r="F22" s="663"/>
      <c r="G22" s="664"/>
    </row>
    <row r="23" spans="1:13" ht="31.5" hidden="1" customHeight="1" x14ac:dyDescent="0.25">
      <c r="A23" s="662"/>
      <c r="B23" s="663"/>
      <c r="C23" s="663"/>
      <c r="D23" s="663"/>
      <c r="E23" s="663"/>
      <c r="F23" s="663"/>
      <c r="G23" s="664"/>
    </row>
    <row r="24" spans="1:13" ht="31.5" hidden="1" customHeight="1" x14ac:dyDescent="0.25">
      <c r="A24" s="662"/>
      <c r="B24" s="663"/>
      <c r="C24" s="663"/>
      <c r="D24" s="663"/>
      <c r="E24" s="663"/>
      <c r="F24" s="663"/>
      <c r="G24" s="664"/>
    </row>
    <row r="25" spans="1:13" ht="31.5" hidden="1" customHeight="1" x14ac:dyDescent="0.25">
      <c r="A25" s="662"/>
      <c r="B25" s="663"/>
      <c r="C25" s="663"/>
      <c r="D25" s="663"/>
      <c r="E25" s="663"/>
      <c r="F25" s="663"/>
      <c r="G25" s="664"/>
    </row>
    <row r="26" spans="1:13" ht="31.5" hidden="1" customHeight="1" x14ac:dyDescent="0.25">
      <c r="A26" s="665"/>
      <c r="B26" s="666"/>
      <c r="C26" s="666"/>
      <c r="D26" s="666"/>
      <c r="E26" s="666"/>
      <c r="F26" s="666"/>
      <c r="G26" s="667"/>
    </row>
    <row r="27" spans="1:13" x14ac:dyDescent="0.25">
      <c r="A27" s="57"/>
      <c r="B27" s="64" t="s">
        <v>45</v>
      </c>
      <c r="C27" s="54"/>
      <c r="D27" s="25"/>
      <c r="E27" s="376">
        <f>+E28+E29</f>
        <v>1298000</v>
      </c>
      <c r="F27" s="376">
        <f>+F28+F29</f>
        <v>1160148</v>
      </c>
      <c r="G27" s="96">
        <f>E27-F27</f>
        <v>137852</v>
      </c>
    </row>
    <row r="28" spans="1:13" x14ac:dyDescent="0.25">
      <c r="A28" s="39"/>
      <c r="B28" s="14" t="s">
        <v>46</v>
      </c>
      <c r="C28" s="86">
        <v>24200</v>
      </c>
      <c r="D28" s="14" t="s">
        <v>47</v>
      </c>
      <c r="E28" s="87">
        <v>1298000</v>
      </c>
      <c r="F28" s="88">
        <v>1160148</v>
      </c>
      <c r="G28" s="6">
        <f>+E28-F28</f>
        <v>137852</v>
      </c>
    </row>
    <row r="29" spans="1:13" hidden="1" x14ac:dyDescent="0.25">
      <c r="A29" s="58"/>
      <c r="B29" s="21" t="s">
        <v>48</v>
      </c>
      <c r="C29" s="27"/>
      <c r="D29" s="26" t="s">
        <v>47</v>
      </c>
      <c r="E29" s="31"/>
      <c r="F29" s="32"/>
      <c r="G29" s="6">
        <f>+E29-F29</f>
        <v>0</v>
      </c>
    </row>
    <row r="30" spans="1:13" x14ac:dyDescent="0.25">
      <c r="A30" s="39"/>
      <c r="B30" s="758" t="s">
        <v>36</v>
      </c>
      <c r="C30" s="759"/>
      <c r="D30" s="14"/>
      <c r="E30" s="33">
        <f>SUM(E12:E27)</f>
        <v>12606000</v>
      </c>
      <c r="F30" s="33">
        <f>SUM(F12:F27)</f>
        <v>11138280.35</v>
      </c>
      <c r="G30" s="33">
        <f>SUM(G12:G29)</f>
        <v>1605571.65</v>
      </c>
    </row>
    <row r="31" spans="1:13" x14ac:dyDescent="0.25">
      <c r="A31" s="656" t="s">
        <v>17</v>
      </c>
      <c r="B31" s="657"/>
      <c r="C31" s="657"/>
      <c r="D31" s="657"/>
      <c r="E31" s="657"/>
      <c r="F31" s="657"/>
      <c r="G31" s="658"/>
    </row>
    <row r="32" spans="1:13" ht="31.5" x14ac:dyDescent="0.25">
      <c r="A32" s="80">
        <v>116013</v>
      </c>
      <c r="B32" s="3" t="s">
        <v>341</v>
      </c>
      <c r="C32" s="14">
        <v>3</v>
      </c>
      <c r="D32" s="14" t="s">
        <v>223</v>
      </c>
      <c r="E32" s="29">
        <v>350000</v>
      </c>
      <c r="F32" s="29">
        <v>310140</v>
      </c>
      <c r="G32" s="29">
        <f>E32-F32</f>
        <v>39860</v>
      </c>
    </row>
    <row r="33" spans="1:7" ht="29.25" customHeight="1" x14ac:dyDescent="0.25">
      <c r="A33" s="80"/>
      <c r="B33" s="3" t="s">
        <v>342</v>
      </c>
      <c r="C33" s="14">
        <v>2</v>
      </c>
      <c r="D33" s="14" t="s">
        <v>223</v>
      </c>
      <c r="E33" s="29">
        <v>75000</v>
      </c>
      <c r="F33" s="29">
        <v>69480</v>
      </c>
      <c r="G33" s="29">
        <f t="shared" ref="G33:G36" si="1">E33-F33</f>
        <v>5520</v>
      </c>
    </row>
    <row r="34" spans="1:7" ht="34.5" customHeight="1" x14ac:dyDescent="0.25">
      <c r="A34" s="157"/>
      <c r="B34" s="3" t="s">
        <v>343</v>
      </c>
      <c r="C34" s="14">
        <v>1</v>
      </c>
      <c r="D34" s="14" t="s">
        <v>223</v>
      </c>
      <c r="E34" s="29">
        <v>83000</v>
      </c>
      <c r="F34" s="29">
        <v>67138.2</v>
      </c>
      <c r="G34" s="29">
        <f t="shared" si="1"/>
        <v>15861.800000000003</v>
      </c>
    </row>
    <row r="35" spans="1:7" ht="33" customHeight="1" x14ac:dyDescent="0.25">
      <c r="A35" s="157"/>
      <c r="B35" s="3" t="s">
        <v>344</v>
      </c>
      <c r="C35" s="14">
        <v>8</v>
      </c>
      <c r="D35" s="14" t="s">
        <v>223</v>
      </c>
      <c r="E35" s="29">
        <v>500000</v>
      </c>
      <c r="F35" s="29"/>
      <c r="G35" s="29">
        <f t="shared" si="1"/>
        <v>500000</v>
      </c>
    </row>
    <row r="36" spans="1:7" hidden="1" x14ac:dyDescent="0.25">
      <c r="A36" s="157"/>
      <c r="B36" s="3"/>
      <c r="C36" s="14"/>
      <c r="D36" s="14"/>
      <c r="E36" s="29"/>
      <c r="F36" s="29"/>
      <c r="G36" s="29">
        <f t="shared" si="1"/>
        <v>0</v>
      </c>
    </row>
    <row r="37" spans="1:7" ht="75.75" hidden="1" customHeight="1" x14ac:dyDescent="0.25">
      <c r="A37" s="157"/>
      <c r="B37" s="3"/>
      <c r="C37" s="14"/>
      <c r="D37" s="14"/>
      <c r="E37" s="29"/>
      <c r="F37" s="29"/>
      <c r="G37" s="29"/>
    </row>
    <row r="38" spans="1:7" hidden="1" x14ac:dyDescent="0.25">
      <c r="A38" s="157"/>
      <c r="B38" s="3"/>
      <c r="C38" s="14"/>
      <c r="D38" s="14"/>
      <c r="E38" s="29"/>
      <c r="F38" s="29"/>
      <c r="G38" s="29"/>
    </row>
    <row r="39" spans="1:7" hidden="1" x14ac:dyDescent="0.25">
      <c r="A39" s="157"/>
      <c r="B39" s="3"/>
      <c r="C39" s="14"/>
      <c r="D39" s="14"/>
      <c r="E39" s="29"/>
      <c r="F39" s="29"/>
      <c r="G39" s="29"/>
    </row>
    <row r="40" spans="1:7" hidden="1" x14ac:dyDescent="0.25">
      <c r="A40" s="78"/>
      <c r="B40" s="21"/>
      <c r="C40" s="14"/>
      <c r="D40" s="14"/>
      <c r="E40" s="29"/>
      <c r="F40" s="29"/>
      <c r="G40" s="29"/>
    </row>
    <row r="41" spans="1:7" hidden="1" x14ac:dyDescent="0.25">
      <c r="A41" s="78"/>
      <c r="B41" s="21"/>
      <c r="C41" s="14"/>
      <c r="D41" s="14"/>
      <c r="E41" s="29"/>
      <c r="F41" s="29"/>
      <c r="G41" s="29"/>
    </row>
    <row r="42" spans="1:7" x14ac:dyDescent="0.25">
      <c r="A42" s="78"/>
      <c r="B42" s="21"/>
      <c r="C42" s="14"/>
      <c r="D42" s="14"/>
      <c r="E42" s="29"/>
      <c r="F42" s="30"/>
      <c r="G42" s="29"/>
    </row>
    <row r="43" spans="1:7" x14ac:dyDescent="0.25">
      <c r="A43" s="78"/>
      <c r="B43" s="82" t="s">
        <v>36</v>
      </c>
      <c r="C43" s="83"/>
      <c r="D43" s="84"/>
      <c r="E43" s="85">
        <f>SUM(E32:E42)</f>
        <v>1008000</v>
      </c>
      <c r="F43" s="85">
        <f>SUM(F32:F42)</f>
        <v>446758.2</v>
      </c>
      <c r="G43" s="85">
        <f>SUM(G32:G42)</f>
        <v>561241.80000000005</v>
      </c>
    </row>
    <row r="44" spans="1:7" ht="63" hidden="1" x14ac:dyDescent="0.25">
      <c r="A44" s="78">
        <v>117310</v>
      </c>
      <c r="B44" s="379" t="s">
        <v>217</v>
      </c>
      <c r="C44" s="378">
        <v>1</v>
      </c>
      <c r="D44" s="378" t="s">
        <v>38</v>
      </c>
      <c r="E44" s="380"/>
      <c r="F44" s="380"/>
      <c r="G44" s="380">
        <f>+E44-F44</f>
        <v>0</v>
      </c>
    </row>
    <row r="45" spans="1:7" hidden="1" x14ac:dyDescent="0.25">
      <c r="A45" s="78"/>
      <c r="B45" s="82" t="s">
        <v>36</v>
      </c>
      <c r="C45" s="83"/>
      <c r="D45" s="84"/>
      <c r="E45" s="381">
        <f>+E44</f>
        <v>0</v>
      </c>
      <c r="F45" s="381"/>
      <c r="G45" s="381"/>
    </row>
    <row r="46" spans="1:7" ht="47.25" x14ac:dyDescent="0.25">
      <c r="A46" s="78">
        <v>117670</v>
      </c>
      <c r="B46" s="545" t="s">
        <v>345</v>
      </c>
      <c r="C46" s="378">
        <v>5</v>
      </c>
      <c r="D46" s="14" t="s">
        <v>223</v>
      </c>
      <c r="E46" s="380">
        <v>2560000</v>
      </c>
      <c r="F46" s="380">
        <v>2550000</v>
      </c>
      <c r="G46" s="380">
        <f>+E46-F46</f>
        <v>10000</v>
      </c>
    </row>
    <row r="47" spans="1:7" ht="31.5" x14ac:dyDescent="0.25">
      <c r="A47" s="78"/>
      <c r="B47" s="545" t="s">
        <v>346</v>
      </c>
      <c r="C47" s="378">
        <v>3</v>
      </c>
      <c r="D47" s="14" t="s">
        <v>223</v>
      </c>
      <c r="E47" s="380">
        <v>98000</v>
      </c>
      <c r="F47" s="380">
        <v>97982.94</v>
      </c>
      <c r="G47" s="380">
        <f>+E47-F47</f>
        <v>17.059999999997672</v>
      </c>
    </row>
    <row r="48" spans="1:7" x14ac:dyDescent="0.25">
      <c r="A48" s="78"/>
      <c r="B48" s="82" t="s">
        <v>36</v>
      </c>
      <c r="C48" s="83"/>
      <c r="D48" s="84"/>
      <c r="E48" s="381">
        <f>+E46+E47</f>
        <v>2658000</v>
      </c>
      <c r="F48" s="381">
        <f>+F46+F47</f>
        <v>2647982.94</v>
      </c>
      <c r="G48" s="381">
        <f>+G46+G47</f>
        <v>10017.059999999998</v>
      </c>
    </row>
    <row r="49" spans="1:13" hidden="1" x14ac:dyDescent="0.25">
      <c r="A49" s="78"/>
      <c r="B49" s="379"/>
      <c r="C49" s="377"/>
      <c r="D49" s="378"/>
      <c r="E49" s="380"/>
      <c r="F49" s="380"/>
      <c r="G49" s="380"/>
    </row>
    <row r="50" spans="1:13" x14ac:dyDescent="0.25">
      <c r="A50" s="78"/>
      <c r="B50" s="82" t="s">
        <v>121</v>
      </c>
      <c r="C50" s="83"/>
      <c r="D50" s="84"/>
      <c r="E50" s="85">
        <f>E30+E43+E45+E48</f>
        <v>16272000</v>
      </c>
      <c r="F50" s="85">
        <f>F30+F43+F45+F48</f>
        <v>14233021.489999998</v>
      </c>
      <c r="G50" s="85">
        <f>G30+G43+G45+G48</f>
        <v>2176830.5100000002</v>
      </c>
    </row>
    <row r="51" spans="1:13" hidden="1" x14ac:dyDescent="0.25">
      <c r="A51" s="80">
        <v>117310</v>
      </c>
      <c r="B51" s="79"/>
      <c r="C51" s="14"/>
      <c r="D51" s="14"/>
      <c r="E51" s="29"/>
      <c r="F51" s="30"/>
      <c r="G51" s="29"/>
    </row>
    <row r="52" spans="1:13" hidden="1" x14ac:dyDescent="0.25">
      <c r="A52" s="78"/>
      <c r="B52" s="82" t="s">
        <v>36</v>
      </c>
      <c r="C52" s="83"/>
      <c r="D52" s="84"/>
      <c r="E52" s="85">
        <f>E51</f>
        <v>0</v>
      </c>
      <c r="F52" s="85">
        <f>F51</f>
        <v>0</v>
      </c>
      <c r="G52" s="85">
        <f>G51</f>
        <v>0</v>
      </c>
    </row>
    <row r="53" spans="1:13" ht="15.6" hidden="1" customHeight="1" x14ac:dyDescent="0.25">
      <c r="A53" s="39"/>
      <c r="B53" s="758" t="s">
        <v>18</v>
      </c>
      <c r="C53" s="759"/>
      <c r="D53" s="14"/>
      <c r="E53" s="33">
        <f>E43+E52</f>
        <v>1008000</v>
      </c>
      <c r="F53" s="33">
        <f>F43+F48</f>
        <v>3094741.14</v>
      </c>
      <c r="G53" s="33">
        <f>G43+G52</f>
        <v>561241.80000000005</v>
      </c>
    </row>
    <row r="54" spans="1:13" hidden="1" x14ac:dyDescent="0.25">
      <c r="A54" s="39"/>
      <c r="B54" s="138" t="s">
        <v>94</v>
      </c>
      <c r="C54" s="138"/>
      <c r="D54" s="14"/>
      <c r="E54" s="33">
        <f>E53+E30</f>
        <v>13614000</v>
      </c>
      <c r="F54" s="33">
        <f>F53+F30</f>
        <v>14233021.49</v>
      </c>
      <c r="G54" s="33">
        <f>G53+G30</f>
        <v>2166813.4500000002</v>
      </c>
    </row>
    <row r="55" spans="1:13" x14ac:dyDescent="0.25">
      <c r="A55" s="59"/>
      <c r="B55" s="61" t="s">
        <v>35</v>
      </c>
      <c r="C55" s="62"/>
      <c r="D55" s="62"/>
      <c r="E55" s="62"/>
      <c r="F55" s="66">
        <f>F50/E50*100</f>
        <v>87.469404437069798</v>
      </c>
      <c r="G55" s="67" t="s">
        <v>34</v>
      </c>
      <c r="M55" t="s">
        <v>105</v>
      </c>
    </row>
    <row r="56" spans="1:13" ht="19.5" customHeight="1" x14ac:dyDescent="0.25">
      <c r="B56" s="647"/>
      <c r="C56" s="647"/>
      <c r="D56" s="647"/>
      <c r="E56" s="647"/>
      <c r="F56" s="647"/>
      <c r="G56" s="647"/>
    </row>
    <row r="57" spans="1:13" ht="63" customHeight="1" x14ac:dyDescent="0.25">
      <c r="A57" s="740" t="s">
        <v>120</v>
      </c>
      <c r="B57" s="740"/>
      <c r="C57" s="740"/>
      <c r="D57" s="740"/>
      <c r="E57" s="740"/>
      <c r="F57" s="740"/>
      <c r="G57" s="740"/>
    </row>
    <row r="60" spans="1:13" x14ac:dyDescent="0.25">
      <c r="A60" t="s">
        <v>173</v>
      </c>
      <c r="C60" s="296"/>
      <c r="D60" s="296"/>
      <c r="F60" s="24" t="s">
        <v>176</v>
      </c>
    </row>
  </sheetData>
  <mergeCells count="11">
    <mergeCell ref="A57:G57"/>
    <mergeCell ref="A4:G4"/>
    <mergeCell ref="A6:G6"/>
    <mergeCell ref="B11:G11"/>
    <mergeCell ref="B30:C30"/>
    <mergeCell ref="A31:G31"/>
    <mergeCell ref="B53:C53"/>
    <mergeCell ref="B56:G56"/>
    <mergeCell ref="A5:G5"/>
    <mergeCell ref="A17:G26"/>
    <mergeCell ref="A15:G15"/>
  </mergeCells>
  <pageMargins left="0.39370078740157483" right="0.39370078740157483" top="0.74803149606299213" bottom="0.74803149606299213" header="0.31496062992125984" footer="0.31496062992125984"/>
  <pageSetup paperSize="9" scale="95" fitToHeight="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8"/>
  <sheetViews>
    <sheetView workbookViewId="0">
      <selection activeCell="L10" sqref="L10"/>
    </sheetView>
  </sheetViews>
  <sheetFormatPr defaultRowHeight="15.75" x14ac:dyDescent="0.25"/>
  <cols>
    <col min="1" max="1" width="7.140625" customWidth="1"/>
    <col min="2" max="2" width="34" style="1" customWidth="1"/>
    <col min="3" max="3" width="6.5703125" style="15" customWidth="1"/>
    <col min="4" max="4" width="5.7109375" style="105" customWidth="1"/>
    <col min="5" max="5" width="14.42578125" style="15" customWidth="1"/>
    <col min="6" max="6" width="14.140625" style="24" customWidth="1"/>
    <col min="7" max="7" width="13.28515625" style="15" customWidth="1"/>
    <col min="8" max="8" width="11.42578125" bestFit="1" customWidth="1"/>
  </cols>
  <sheetData>
    <row r="1" spans="1:8" x14ac:dyDescent="0.25">
      <c r="F1" s="631" t="s">
        <v>618</v>
      </c>
      <c r="G1" s="631"/>
    </row>
    <row r="2" spans="1:8" x14ac:dyDescent="0.25">
      <c r="F2" t="s">
        <v>171</v>
      </c>
      <c r="G2" s="1"/>
    </row>
    <row r="3" spans="1:8" x14ac:dyDescent="0.25">
      <c r="C3" s="1"/>
      <c r="D3" s="104"/>
      <c r="E3" s="1"/>
      <c r="F3" t="s">
        <v>586</v>
      </c>
      <c r="G3" s="1"/>
    </row>
    <row r="4" spans="1:8" x14ac:dyDescent="0.25">
      <c r="A4" s="633" t="s">
        <v>122</v>
      </c>
      <c r="B4" s="633"/>
      <c r="C4" s="633"/>
      <c r="D4" s="633"/>
      <c r="E4" s="633"/>
      <c r="F4" s="633"/>
      <c r="G4" s="633"/>
    </row>
    <row r="5" spans="1:8" ht="17.25" customHeight="1" x14ac:dyDescent="0.25">
      <c r="A5" s="761" t="s">
        <v>347</v>
      </c>
      <c r="B5" s="761"/>
      <c r="C5" s="761"/>
      <c r="D5" s="761"/>
      <c r="E5" s="761"/>
      <c r="F5" s="761"/>
      <c r="G5" s="761"/>
    </row>
    <row r="6" spans="1:8" ht="14.25" customHeight="1" x14ac:dyDescent="0.25">
      <c r="A6" s="762"/>
      <c r="B6" s="762"/>
      <c r="C6" s="762"/>
      <c r="D6" s="762"/>
      <c r="E6" s="762"/>
      <c r="F6" s="762"/>
      <c r="G6" s="762"/>
    </row>
    <row r="7" spans="1:8" ht="315.75" customHeight="1" x14ac:dyDescent="0.25">
      <c r="A7" s="647" t="s">
        <v>87</v>
      </c>
      <c r="B7" s="647"/>
      <c r="C7" s="647"/>
      <c r="D7" s="647"/>
      <c r="E7" s="647"/>
      <c r="F7" s="647"/>
      <c r="G7" s="647"/>
    </row>
    <row r="8" spans="1:8" x14ac:dyDescent="0.25">
      <c r="A8" s="47" t="s">
        <v>283</v>
      </c>
      <c r="B8" s="47"/>
      <c r="C8" s="47"/>
      <c r="D8" s="47"/>
      <c r="E8" s="340">
        <f>+E9+E10</f>
        <v>20898782.499999996</v>
      </c>
      <c r="F8" s="93" t="s">
        <v>32</v>
      </c>
      <c r="G8" s="47"/>
    </row>
    <row r="9" spans="1:8" x14ac:dyDescent="0.25">
      <c r="B9" s="94" t="s">
        <v>28</v>
      </c>
      <c r="C9" s="89"/>
      <c r="E9" s="200">
        <f>F45</f>
        <v>20520702.499999996</v>
      </c>
      <c r="F9" s="93" t="s">
        <v>32</v>
      </c>
      <c r="G9" s="89"/>
    </row>
    <row r="10" spans="1:8" ht="18.75" customHeight="1" x14ac:dyDescent="0.25">
      <c r="B10" s="49" t="s">
        <v>29</v>
      </c>
      <c r="C10" s="90"/>
      <c r="D10" s="103"/>
      <c r="E10" s="199">
        <f>F53</f>
        <v>378080</v>
      </c>
      <c r="F10" s="92" t="s">
        <v>32</v>
      </c>
      <c r="G10" s="90"/>
    </row>
    <row r="11" spans="1:8" s="11" customFormat="1" ht="30.75" customHeight="1" x14ac:dyDescent="0.25">
      <c r="A11" s="95" t="s">
        <v>22</v>
      </c>
      <c r="B11" s="10" t="s">
        <v>30</v>
      </c>
      <c r="C11" s="10" t="s">
        <v>31</v>
      </c>
      <c r="D11" s="10" t="s">
        <v>19</v>
      </c>
      <c r="E11" s="10" t="s">
        <v>8</v>
      </c>
      <c r="F11" s="109" t="s">
        <v>9</v>
      </c>
      <c r="G11" s="10" t="s">
        <v>5</v>
      </c>
    </row>
    <row r="12" spans="1:8" x14ac:dyDescent="0.25">
      <c r="A12" s="714" t="s">
        <v>16</v>
      </c>
      <c r="B12" s="714"/>
      <c r="C12" s="714"/>
      <c r="D12" s="714"/>
      <c r="E12" s="714"/>
      <c r="F12" s="714"/>
      <c r="G12" s="714"/>
    </row>
    <row r="13" spans="1:8" x14ac:dyDescent="0.25">
      <c r="A13" s="118">
        <v>116020</v>
      </c>
      <c r="B13" s="201" t="s">
        <v>54</v>
      </c>
      <c r="C13" s="201"/>
      <c r="D13" s="202"/>
      <c r="E13" s="549">
        <f>13012048</f>
        <v>13012048</v>
      </c>
      <c r="F13" s="549">
        <f>12958546.27</f>
        <v>12958546.27</v>
      </c>
      <c r="G13" s="203">
        <f>E13-F13</f>
        <v>53501.730000000447</v>
      </c>
    </row>
    <row r="14" spans="1:8" x14ac:dyDescent="0.25">
      <c r="A14" s="39"/>
      <c r="B14" s="3" t="s">
        <v>55</v>
      </c>
      <c r="C14" s="3"/>
      <c r="D14" s="523"/>
      <c r="E14" s="549">
        <f>2862652</f>
        <v>2862652</v>
      </c>
      <c r="F14" s="549">
        <f>2784127.5</f>
        <v>2784127.5</v>
      </c>
      <c r="G14" s="203">
        <f t="shared" ref="G14:G44" si="0">E14-F14</f>
        <v>78524.5</v>
      </c>
      <c r="H14" s="102"/>
    </row>
    <row r="15" spans="1:8" ht="31.5" x14ac:dyDescent="0.25">
      <c r="A15" s="387"/>
      <c r="B15" s="550" t="s">
        <v>72</v>
      </c>
      <c r="C15" s="387"/>
      <c r="D15" s="387"/>
      <c r="E15" s="549">
        <f>99900+99900+200000+87510</f>
        <v>487310</v>
      </c>
      <c r="F15" s="549">
        <f>99899.91+99755+87510+190388.07</f>
        <v>477552.98000000004</v>
      </c>
      <c r="G15" s="203">
        <f t="shared" si="0"/>
        <v>9757.0199999999604</v>
      </c>
      <c r="H15" s="102"/>
    </row>
    <row r="16" spans="1:8" x14ac:dyDescent="0.25">
      <c r="A16" s="387"/>
      <c r="B16" s="550" t="s">
        <v>219</v>
      </c>
      <c r="C16" s="387"/>
      <c r="D16" s="387"/>
      <c r="E16" s="549">
        <f>95208.52</f>
        <v>95208.52</v>
      </c>
      <c r="F16" s="549">
        <f>95179.94</f>
        <v>95179.94</v>
      </c>
      <c r="G16" s="203">
        <f t="shared" si="0"/>
        <v>28.580000000001746</v>
      </c>
    </row>
    <row r="17" spans="1:7" x14ac:dyDescent="0.25">
      <c r="A17" s="387"/>
      <c r="B17" s="550" t="s">
        <v>220</v>
      </c>
      <c r="C17" s="387"/>
      <c r="D17" s="387"/>
      <c r="E17" s="549">
        <f>24895</f>
        <v>24895</v>
      </c>
      <c r="F17" s="549">
        <f>24895</f>
        <v>24895</v>
      </c>
      <c r="G17" s="203">
        <f t="shared" si="0"/>
        <v>0</v>
      </c>
    </row>
    <row r="18" spans="1:7" x14ac:dyDescent="0.25">
      <c r="A18" s="387"/>
      <c r="B18" s="550" t="s">
        <v>56</v>
      </c>
      <c r="C18" s="387">
        <f>4300</f>
        <v>4300</v>
      </c>
      <c r="D18" s="387" t="s">
        <v>47</v>
      </c>
      <c r="E18" s="549">
        <f>202788</f>
        <v>202788</v>
      </c>
      <c r="F18" s="549">
        <f>202788</f>
        <v>202788</v>
      </c>
      <c r="G18" s="203">
        <f t="shared" si="0"/>
        <v>0</v>
      </c>
    </row>
    <row r="19" spans="1:7" x14ac:dyDescent="0.25">
      <c r="A19" s="387"/>
      <c r="B19" s="550" t="s">
        <v>57</v>
      </c>
      <c r="C19" s="387">
        <f>2010</f>
        <v>2010</v>
      </c>
      <c r="D19" s="387" t="s">
        <v>47</v>
      </c>
      <c r="E19" s="549">
        <f>101840.4</f>
        <v>101840.4</v>
      </c>
      <c r="F19" s="549">
        <f>101840.4</f>
        <v>101840.4</v>
      </c>
      <c r="G19" s="203">
        <f t="shared" si="0"/>
        <v>0</v>
      </c>
    </row>
    <row r="20" spans="1:7" ht="31.5" x14ac:dyDescent="0.25">
      <c r="A20" s="387"/>
      <c r="B20" s="550" t="s">
        <v>58</v>
      </c>
      <c r="C20" s="387">
        <f>6400</f>
        <v>6400</v>
      </c>
      <c r="D20" s="387" t="s">
        <v>47</v>
      </c>
      <c r="E20" s="549">
        <f>194592</f>
        <v>194592</v>
      </c>
      <c r="F20" s="549">
        <f>194592</f>
        <v>194592</v>
      </c>
      <c r="G20" s="203">
        <f t="shared" si="0"/>
        <v>0</v>
      </c>
    </row>
    <row r="21" spans="1:7" ht="18" customHeight="1" x14ac:dyDescent="0.25">
      <c r="A21" s="387"/>
      <c r="B21" s="550" t="s">
        <v>59</v>
      </c>
      <c r="C21" s="387">
        <f>23490</f>
        <v>23490</v>
      </c>
      <c r="D21" s="387" t="s">
        <v>47</v>
      </c>
      <c r="E21" s="549">
        <f>1132151.9+60962</f>
        <v>1193113.8999999999</v>
      </c>
      <c r="F21" s="549">
        <f>1132151.9</f>
        <v>1132151.8999999999</v>
      </c>
      <c r="G21" s="203">
        <f t="shared" si="0"/>
        <v>60962</v>
      </c>
    </row>
    <row r="22" spans="1:7" x14ac:dyDescent="0.25">
      <c r="A22" s="387"/>
      <c r="B22" s="550" t="s">
        <v>352</v>
      </c>
      <c r="C22" s="387"/>
      <c r="D22" s="387"/>
      <c r="E22" s="549">
        <f>104960+99900</f>
        <v>204860</v>
      </c>
      <c r="F22" s="549">
        <f>78299.4+98282.24</f>
        <v>176581.64</v>
      </c>
      <c r="G22" s="203">
        <f t="shared" si="0"/>
        <v>28278.359999999986</v>
      </c>
    </row>
    <row r="23" spans="1:7" x14ac:dyDescent="0.25">
      <c r="A23" s="387"/>
      <c r="B23" s="550" t="s">
        <v>60</v>
      </c>
      <c r="C23" s="387">
        <f>103.78</f>
        <v>103.78</v>
      </c>
      <c r="D23" s="387" t="s">
        <v>69</v>
      </c>
      <c r="E23" s="549">
        <f>704200</f>
        <v>704200</v>
      </c>
      <c r="F23" s="549">
        <f>337181.22</f>
        <v>337181.22</v>
      </c>
      <c r="G23" s="203">
        <f t="shared" si="0"/>
        <v>367018.78</v>
      </c>
    </row>
    <row r="24" spans="1:7" x14ac:dyDescent="0.25">
      <c r="A24" s="387"/>
      <c r="B24" s="550" t="s">
        <v>61</v>
      </c>
      <c r="C24" s="387">
        <f>565</f>
        <v>565</v>
      </c>
      <c r="D24" s="387" t="s">
        <v>69</v>
      </c>
      <c r="E24" s="549">
        <f>158200</f>
        <v>158200</v>
      </c>
      <c r="F24" s="549">
        <f>147894.4</f>
        <v>147894.39999999999</v>
      </c>
      <c r="G24" s="203">
        <f t="shared" si="0"/>
        <v>10305.600000000006</v>
      </c>
    </row>
    <row r="25" spans="1:7" ht="31.5" x14ac:dyDescent="0.25">
      <c r="A25" s="387"/>
      <c r="B25" s="550" t="s">
        <v>221</v>
      </c>
      <c r="C25" s="387"/>
      <c r="D25" s="387"/>
      <c r="E25" s="549">
        <f>46582</f>
        <v>46582</v>
      </c>
      <c r="F25" s="549">
        <f>46426.38</f>
        <v>46426.38</v>
      </c>
      <c r="G25" s="203">
        <f t="shared" si="0"/>
        <v>155.62000000000262</v>
      </c>
    </row>
    <row r="26" spans="1:7" ht="31.5" x14ac:dyDescent="0.25">
      <c r="A26" s="387"/>
      <c r="B26" s="550" t="s">
        <v>222</v>
      </c>
      <c r="C26" s="387"/>
      <c r="D26" s="387"/>
      <c r="E26" s="549">
        <f>200000+270430</f>
        <v>470430</v>
      </c>
      <c r="F26" s="549">
        <f>199907.04+263282.81</f>
        <v>463189.85</v>
      </c>
      <c r="G26" s="203">
        <f t="shared" si="0"/>
        <v>7240.1500000000233</v>
      </c>
    </row>
    <row r="27" spans="1:7" x14ac:dyDescent="0.25">
      <c r="A27" s="387"/>
      <c r="B27" s="550" t="s">
        <v>224</v>
      </c>
      <c r="C27" s="387"/>
      <c r="D27" s="387"/>
      <c r="E27" s="549">
        <f>99900</f>
        <v>99900</v>
      </c>
      <c r="F27" s="549">
        <f>98960.28</f>
        <v>98960.28</v>
      </c>
      <c r="G27" s="203">
        <f t="shared" si="0"/>
        <v>939.72000000000116</v>
      </c>
    </row>
    <row r="28" spans="1:7" x14ac:dyDescent="0.25">
      <c r="A28" s="387"/>
      <c r="B28" s="550" t="s">
        <v>225</v>
      </c>
      <c r="C28" s="387">
        <v>28</v>
      </c>
      <c r="D28" s="387" t="s">
        <v>223</v>
      </c>
      <c r="E28" s="549">
        <f>123864</f>
        <v>123864</v>
      </c>
      <c r="F28" s="549">
        <f>123864</f>
        <v>123864</v>
      </c>
      <c r="G28" s="203">
        <f t="shared" si="0"/>
        <v>0</v>
      </c>
    </row>
    <row r="29" spans="1:7" x14ac:dyDescent="0.25">
      <c r="A29" s="387"/>
      <c r="B29" s="550" t="s">
        <v>353</v>
      </c>
      <c r="C29" s="387"/>
      <c r="D29" s="387"/>
      <c r="E29" s="549">
        <f>8560.18</f>
        <v>8560.18</v>
      </c>
      <c r="F29" s="549">
        <f>8560.18</f>
        <v>8560.18</v>
      </c>
      <c r="G29" s="203">
        <f t="shared" si="0"/>
        <v>0</v>
      </c>
    </row>
    <row r="30" spans="1:7" x14ac:dyDescent="0.25">
      <c r="A30" s="387"/>
      <c r="B30" s="550" t="s">
        <v>354</v>
      </c>
      <c r="C30" s="387"/>
      <c r="D30" s="387"/>
      <c r="E30" s="549">
        <f>35000</f>
        <v>35000</v>
      </c>
      <c r="F30" s="549">
        <f>33370</f>
        <v>33370</v>
      </c>
      <c r="G30" s="203">
        <f t="shared" si="0"/>
        <v>1630</v>
      </c>
    </row>
    <row r="31" spans="1:7" ht="31.5" x14ac:dyDescent="0.25">
      <c r="A31" s="387"/>
      <c r="B31" s="550" t="s">
        <v>355</v>
      </c>
      <c r="C31" s="387"/>
      <c r="D31" s="387"/>
      <c r="E31" s="549">
        <f>10000</f>
        <v>10000</v>
      </c>
      <c r="F31" s="549">
        <f>9971.64</f>
        <v>9971.64</v>
      </c>
      <c r="G31" s="203">
        <f t="shared" si="0"/>
        <v>28.360000000000582</v>
      </c>
    </row>
    <row r="32" spans="1:7" ht="47.25" x14ac:dyDescent="0.25">
      <c r="A32" s="387"/>
      <c r="B32" s="550" t="s">
        <v>226</v>
      </c>
      <c r="C32" s="387"/>
      <c r="D32" s="387" t="s">
        <v>43</v>
      </c>
      <c r="E32" s="549">
        <f>62100+130000</f>
        <v>192100</v>
      </c>
      <c r="F32" s="549">
        <f>114224.76+62064.9</f>
        <v>176289.66</v>
      </c>
      <c r="G32" s="203">
        <f t="shared" si="0"/>
        <v>15810.339999999997</v>
      </c>
    </row>
    <row r="33" spans="1:8" ht="31.5" x14ac:dyDescent="0.25">
      <c r="A33" s="387"/>
      <c r="B33" s="550" t="s">
        <v>62</v>
      </c>
      <c r="C33" s="387"/>
      <c r="D33" s="387" t="s">
        <v>43</v>
      </c>
      <c r="E33" s="549">
        <f>52585</f>
        <v>52585</v>
      </c>
      <c r="F33" s="549">
        <f>52585</f>
        <v>52585</v>
      </c>
      <c r="G33" s="203">
        <f t="shared" si="0"/>
        <v>0</v>
      </c>
    </row>
    <row r="34" spans="1:8" x14ac:dyDescent="0.25">
      <c r="A34" s="387"/>
      <c r="B34" s="550" t="s">
        <v>227</v>
      </c>
      <c r="C34" s="387"/>
      <c r="D34" s="387" t="s">
        <v>71</v>
      </c>
      <c r="E34" s="549">
        <f>347634.56</f>
        <v>347634.56</v>
      </c>
      <c r="F34" s="549">
        <f>347538.24</f>
        <v>347538.24</v>
      </c>
      <c r="G34" s="203">
        <f t="shared" si="0"/>
        <v>96.320000000006985</v>
      </c>
    </row>
    <row r="35" spans="1:8" ht="47.25" x14ac:dyDescent="0.25">
      <c r="A35" s="387"/>
      <c r="B35" s="550" t="s">
        <v>63</v>
      </c>
      <c r="C35" s="387"/>
      <c r="D35" s="387" t="s">
        <v>43</v>
      </c>
      <c r="E35" s="549">
        <f>47365.44</f>
        <v>47365.440000000002</v>
      </c>
      <c r="F35" s="549">
        <f>44740</f>
        <v>44740</v>
      </c>
      <c r="G35" s="203">
        <f t="shared" si="0"/>
        <v>2625.4400000000023</v>
      </c>
    </row>
    <row r="36" spans="1:8" ht="31.5" x14ac:dyDescent="0.25">
      <c r="A36" s="387"/>
      <c r="B36" s="550" t="s">
        <v>228</v>
      </c>
      <c r="C36" s="387"/>
      <c r="D36" s="387" t="s">
        <v>43</v>
      </c>
      <c r="E36" s="549">
        <f>60000</f>
        <v>60000</v>
      </c>
      <c r="F36" s="549">
        <f>21849</f>
        <v>21849</v>
      </c>
      <c r="G36" s="203">
        <f t="shared" si="0"/>
        <v>38151</v>
      </c>
    </row>
    <row r="37" spans="1:8" ht="31.5" x14ac:dyDescent="0.25">
      <c r="A37" s="387"/>
      <c r="B37" s="550" t="s">
        <v>229</v>
      </c>
      <c r="C37" s="387"/>
      <c r="D37" s="387" t="s">
        <v>43</v>
      </c>
      <c r="E37" s="549">
        <f>195000</f>
        <v>195000</v>
      </c>
      <c r="F37" s="549">
        <f>194987.71</f>
        <v>194987.71</v>
      </c>
      <c r="G37" s="203">
        <f t="shared" si="0"/>
        <v>12.290000000008149</v>
      </c>
    </row>
    <row r="38" spans="1:8" ht="31.5" x14ac:dyDescent="0.25">
      <c r="A38" s="387"/>
      <c r="B38" s="550" t="s">
        <v>356</v>
      </c>
      <c r="C38" s="387"/>
      <c r="D38" s="387" t="s">
        <v>43</v>
      </c>
      <c r="E38" s="549">
        <f>14826</f>
        <v>14826</v>
      </c>
      <c r="F38" s="549">
        <f>14826</f>
        <v>14826</v>
      </c>
      <c r="G38" s="203">
        <f t="shared" si="0"/>
        <v>0</v>
      </c>
    </row>
    <row r="39" spans="1:8" x14ac:dyDescent="0.25">
      <c r="A39" s="387"/>
      <c r="B39" s="550" t="s">
        <v>357</v>
      </c>
      <c r="C39" s="387"/>
      <c r="D39" s="387" t="s">
        <v>43</v>
      </c>
      <c r="E39" s="549">
        <f>6589</f>
        <v>6589</v>
      </c>
      <c r="F39" s="549">
        <f>1440</f>
        <v>1440</v>
      </c>
      <c r="G39" s="203">
        <f t="shared" si="0"/>
        <v>5149</v>
      </c>
    </row>
    <row r="40" spans="1:8" x14ac:dyDescent="0.25">
      <c r="A40" s="387"/>
      <c r="B40" s="550" t="s">
        <v>230</v>
      </c>
      <c r="C40" s="387"/>
      <c r="D40" s="387" t="s">
        <v>71</v>
      </c>
      <c r="E40" s="549">
        <f>99900</f>
        <v>99900</v>
      </c>
      <c r="F40" s="549">
        <f>99497.16</f>
        <v>99497.16</v>
      </c>
      <c r="G40" s="203">
        <f t="shared" si="0"/>
        <v>402.83999999999651</v>
      </c>
    </row>
    <row r="41" spans="1:8" x14ac:dyDescent="0.25">
      <c r="A41" s="387"/>
      <c r="B41" s="550" t="s">
        <v>231</v>
      </c>
      <c r="C41" s="387"/>
      <c r="D41" s="387" t="s">
        <v>43</v>
      </c>
      <c r="E41" s="549">
        <f>12000</f>
        <v>12000</v>
      </c>
      <c r="F41" s="549">
        <f>10560-880</f>
        <v>9680</v>
      </c>
      <c r="G41" s="203">
        <f t="shared" si="0"/>
        <v>2320</v>
      </c>
    </row>
    <row r="42" spans="1:8" x14ac:dyDescent="0.25">
      <c r="A42" s="387"/>
      <c r="B42" s="550" t="s">
        <v>358</v>
      </c>
      <c r="C42" s="387"/>
      <c r="D42" s="387" t="s">
        <v>43</v>
      </c>
      <c r="E42" s="549">
        <f>10000</f>
        <v>10000</v>
      </c>
      <c r="F42" s="549">
        <f>9616.15</f>
        <v>9616.15</v>
      </c>
      <c r="G42" s="203">
        <f t="shared" si="0"/>
        <v>383.85000000000036</v>
      </c>
    </row>
    <row r="43" spans="1:8" x14ac:dyDescent="0.25">
      <c r="A43" s="387"/>
      <c r="B43" s="550" t="s">
        <v>359</v>
      </c>
      <c r="C43" s="387"/>
      <c r="D43" s="387" t="s">
        <v>43</v>
      </c>
      <c r="E43" s="549">
        <f>99900</f>
        <v>99900</v>
      </c>
      <c r="F43" s="549">
        <f>99440</f>
        <v>99440</v>
      </c>
      <c r="G43" s="203">
        <f t="shared" si="0"/>
        <v>460</v>
      </c>
    </row>
    <row r="44" spans="1:8" x14ac:dyDescent="0.25">
      <c r="A44" s="387"/>
      <c r="B44" s="550" t="s">
        <v>360</v>
      </c>
      <c r="C44" s="387"/>
      <c r="D44" s="387" t="s">
        <v>43</v>
      </c>
      <c r="E44" s="549">
        <f>31900</f>
        <v>31900</v>
      </c>
      <c r="F44" s="549">
        <f>30540</f>
        <v>30540</v>
      </c>
      <c r="G44" s="203">
        <f t="shared" si="0"/>
        <v>1360</v>
      </c>
    </row>
    <row r="45" spans="1:8" x14ac:dyDescent="0.25">
      <c r="A45" s="39"/>
      <c r="B45" s="758" t="s">
        <v>36</v>
      </c>
      <c r="C45" s="759"/>
      <c r="D45" s="46"/>
      <c r="E45" s="388">
        <f>SUM(E13:E44)</f>
        <v>21205843.999999996</v>
      </c>
      <c r="F45" s="33">
        <f>SUM(F13:F44)</f>
        <v>20520702.499999996</v>
      </c>
      <c r="G45" s="33">
        <f>SUM(G13:G44)</f>
        <v>685141.50000000023</v>
      </c>
      <c r="H45" s="102"/>
    </row>
    <row r="46" spans="1:8" x14ac:dyDescent="0.25">
      <c r="A46" s="656" t="s">
        <v>17</v>
      </c>
      <c r="B46" s="657"/>
      <c r="C46" s="657"/>
      <c r="D46" s="657"/>
      <c r="E46" s="657"/>
      <c r="F46" s="657"/>
      <c r="G46" s="658"/>
    </row>
    <row r="47" spans="1:8" ht="29.25" customHeight="1" x14ac:dyDescent="0.25">
      <c r="A47" s="80">
        <v>117670</v>
      </c>
      <c r="B47" s="3" t="s">
        <v>349</v>
      </c>
      <c r="C47" s="27">
        <v>1</v>
      </c>
      <c r="D47" s="106" t="s">
        <v>44</v>
      </c>
      <c r="E47" s="546">
        <v>95480</v>
      </c>
      <c r="F47" s="383">
        <v>95480</v>
      </c>
      <c r="G47" s="29">
        <f>+E47-F47</f>
        <v>0</v>
      </c>
    </row>
    <row r="48" spans="1:8" ht="47.25" x14ac:dyDescent="0.25">
      <c r="A48" s="78"/>
      <c r="B48" s="3" t="s">
        <v>348</v>
      </c>
      <c r="C48" s="27">
        <v>1</v>
      </c>
      <c r="D48" s="106" t="s">
        <v>223</v>
      </c>
      <c r="E48" s="383">
        <v>94400</v>
      </c>
      <c r="F48" s="383">
        <v>94400</v>
      </c>
      <c r="G48" s="29">
        <f t="shared" ref="G48:G52" si="1">+E48-F48</f>
        <v>0</v>
      </c>
    </row>
    <row r="49" spans="1:7" ht="47.25" x14ac:dyDescent="0.25">
      <c r="A49" s="78"/>
      <c r="B49" s="3" t="s">
        <v>350</v>
      </c>
      <c r="C49" s="27">
        <v>1</v>
      </c>
      <c r="D49" s="106" t="s">
        <v>44</v>
      </c>
      <c r="E49" s="546">
        <v>89000</v>
      </c>
      <c r="F49" s="547">
        <v>89000</v>
      </c>
      <c r="G49" s="29">
        <f t="shared" si="1"/>
        <v>0</v>
      </c>
    </row>
    <row r="50" spans="1:7" ht="51" customHeight="1" x14ac:dyDescent="0.25">
      <c r="A50" s="78"/>
      <c r="B50" s="3" t="s">
        <v>351</v>
      </c>
      <c r="C50" s="27">
        <v>1</v>
      </c>
      <c r="D50" s="106" t="s">
        <v>44</v>
      </c>
      <c r="E50" s="546">
        <v>99900</v>
      </c>
      <c r="F50" s="548">
        <v>99200</v>
      </c>
      <c r="G50" s="29">
        <f t="shared" si="1"/>
        <v>700</v>
      </c>
    </row>
    <row r="51" spans="1:7" hidden="1" x14ac:dyDescent="0.25">
      <c r="A51" s="78"/>
      <c r="B51" s="74"/>
      <c r="C51" s="113"/>
      <c r="D51" s="106"/>
      <c r="E51" s="546"/>
      <c r="F51" s="548"/>
      <c r="G51" s="29">
        <f t="shared" si="1"/>
        <v>0</v>
      </c>
    </row>
    <row r="52" spans="1:7" hidden="1" x14ac:dyDescent="0.25">
      <c r="A52" s="78"/>
      <c r="B52" s="74"/>
      <c r="C52" s="113"/>
      <c r="D52" s="106"/>
      <c r="E52" s="546"/>
      <c r="F52" s="548"/>
      <c r="G52" s="29">
        <f t="shared" si="1"/>
        <v>0</v>
      </c>
    </row>
    <row r="53" spans="1:7" x14ac:dyDescent="0.25">
      <c r="A53" s="78"/>
      <c r="B53" s="82" t="s">
        <v>36</v>
      </c>
      <c r="C53" s="83"/>
      <c r="D53" s="108"/>
      <c r="E53" s="85">
        <f>SUM(E47:E52)</f>
        <v>378780</v>
      </c>
      <c r="F53" s="85">
        <f>SUM(F47:F52)</f>
        <v>378080</v>
      </c>
      <c r="G53" s="85">
        <f>SUM(G47:G52)</f>
        <v>700</v>
      </c>
    </row>
    <row r="54" spans="1:7" x14ac:dyDescent="0.25">
      <c r="A54" s="39"/>
      <c r="B54" s="758" t="s">
        <v>121</v>
      </c>
      <c r="C54" s="759"/>
      <c r="D54" s="46"/>
      <c r="E54" s="33">
        <f>E45+E53</f>
        <v>21584623.999999996</v>
      </c>
      <c r="F54" s="33">
        <f>F45+F53</f>
        <v>20898782.499999996</v>
      </c>
      <c r="G54" s="33">
        <f>G45+G53</f>
        <v>685841.50000000023</v>
      </c>
    </row>
    <row r="55" spans="1:7" x14ac:dyDescent="0.25">
      <c r="A55" s="59"/>
      <c r="B55" s="70" t="s">
        <v>35</v>
      </c>
      <c r="C55" s="62"/>
      <c r="D55" s="107"/>
      <c r="E55" s="62"/>
      <c r="F55" s="66">
        <f>F54/E54*100</f>
        <v>96.822545993851918</v>
      </c>
      <c r="G55" s="67" t="s">
        <v>34</v>
      </c>
    </row>
    <row r="56" spans="1:7" ht="69.75" customHeight="1" x14ac:dyDescent="0.25">
      <c r="A56" s="740" t="s">
        <v>120</v>
      </c>
      <c r="B56" s="740"/>
      <c r="C56" s="740"/>
      <c r="D56" s="740"/>
      <c r="E56" s="740"/>
      <c r="F56" s="740"/>
      <c r="G56" s="740"/>
    </row>
    <row r="57" spans="1:7" ht="18.75" customHeight="1" x14ac:dyDescent="0.25">
      <c r="B57" s="646"/>
      <c r="C57" s="646"/>
      <c r="D57" s="646"/>
      <c r="E57" s="646"/>
      <c r="F57" s="646"/>
      <c r="G57" s="646"/>
    </row>
    <row r="58" spans="1:7" x14ac:dyDescent="0.25">
      <c r="A58" t="s">
        <v>173</v>
      </c>
      <c r="C58" s="296"/>
      <c r="D58" s="304"/>
      <c r="E58" s="305"/>
      <c r="F58" s="297" t="s">
        <v>174</v>
      </c>
      <c r="G58" s="15" t="s">
        <v>175</v>
      </c>
    </row>
  </sheetData>
  <mergeCells count="11">
    <mergeCell ref="F1:G1"/>
    <mergeCell ref="A12:G12"/>
    <mergeCell ref="A46:G46"/>
    <mergeCell ref="B54:C54"/>
    <mergeCell ref="B57:G57"/>
    <mergeCell ref="B45:C45"/>
    <mergeCell ref="A56:G56"/>
    <mergeCell ref="A4:G4"/>
    <mergeCell ref="A5:G5"/>
    <mergeCell ref="A6:G6"/>
    <mergeCell ref="A7:G7"/>
  </mergeCells>
  <pageMargins left="0.39370078740157483" right="0.39370078740157483"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2"/>
  <sheetViews>
    <sheetView workbookViewId="0">
      <selection activeCell="O15" sqref="O14:O15"/>
    </sheetView>
  </sheetViews>
  <sheetFormatPr defaultRowHeight="15.75" x14ac:dyDescent="0.25"/>
  <cols>
    <col min="1" max="1" width="7.140625" customWidth="1"/>
    <col min="2" max="2" width="35.5703125" style="1" customWidth="1"/>
    <col min="3" max="3" width="17.5703125" style="15" customWidth="1"/>
    <col min="4" max="4" width="14.140625" style="24" customWidth="1"/>
    <col min="5" max="5" width="13.28515625" style="15" customWidth="1"/>
    <col min="6" max="6" width="11.42578125" bestFit="1" customWidth="1"/>
  </cols>
  <sheetData>
    <row r="1" spans="1:6" x14ac:dyDescent="0.25">
      <c r="D1" s="631" t="s">
        <v>619</v>
      </c>
      <c r="E1" s="631"/>
    </row>
    <row r="2" spans="1:6" x14ac:dyDescent="0.25">
      <c r="D2" t="s">
        <v>171</v>
      </c>
      <c r="E2" s="1"/>
    </row>
    <row r="3" spans="1:6" x14ac:dyDescent="0.25">
      <c r="C3" s="1"/>
      <c r="D3" t="s">
        <v>586</v>
      </c>
      <c r="E3" s="1"/>
    </row>
    <row r="4" spans="1:6" x14ac:dyDescent="0.25">
      <c r="A4" s="633" t="s">
        <v>122</v>
      </c>
      <c r="B4" s="633"/>
      <c r="C4" s="633"/>
      <c r="D4" s="633"/>
      <c r="E4" s="633"/>
    </row>
    <row r="5" spans="1:6" ht="33.75" customHeight="1" x14ac:dyDescent="0.25">
      <c r="A5" s="627" t="s">
        <v>361</v>
      </c>
      <c r="B5" s="627"/>
      <c r="C5" s="627"/>
      <c r="D5" s="627"/>
      <c r="E5" s="627"/>
    </row>
    <row r="6" spans="1:6" ht="300.75" customHeight="1" x14ac:dyDescent="0.25">
      <c r="A6" s="647" t="s">
        <v>137</v>
      </c>
      <c r="B6" s="647"/>
      <c r="C6" s="647"/>
      <c r="D6" s="647"/>
      <c r="E6" s="647"/>
    </row>
    <row r="7" spans="1:6" x14ac:dyDescent="0.25">
      <c r="A7" s="47" t="s">
        <v>283</v>
      </c>
      <c r="B7" s="47"/>
      <c r="C7" s="47"/>
      <c r="D7" s="340">
        <f>+C8+C9</f>
        <v>3092161.8700000006</v>
      </c>
      <c r="E7" s="93" t="s">
        <v>32</v>
      </c>
    </row>
    <row r="8" spans="1:6" x14ac:dyDescent="0.25">
      <c r="B8" s="161" t="s">
        <v>28</v>
      </c>
      <c r="C8" s="389">
        <f>D23</f>
        <v>3092161.8700000006</v>
      </c>
      <c r="D8" s="93" t="s">
        <v>32</v>
      </c>
      <c r="E8" s="158"/>
    </row>
    <row r="9" spans="1:6" ht="18.75" customHeight="1" x14ac:dyDescent="0.25">
      <c r="B9" s="160" t="s">
        <v>29</v>
      </c>
      <c r="C9" s="52">
        <f>D27</f>
        <v>0</v>
      </c>
      <c r="D9" s="92" t="s">
        <v>32</v>
      </c>
      <c r="E9" s="159"/>
    </row>
    <row r="10" spans="1:6" s="11" customFormat="1" ht="30.75" customHeight="1" x14ac:dyDescent="0.25">
      <c r="A10" s="95" t="s">
        <v>22</v>
      </c>
      <c r="B10" s="10" t="s">
        <v>30</v>
      </c>
      <c r="C10" s="10" t="s">
        <v>8</v>
      </c>
      <c r="D10" s="109" t="s">
        <v>9</v>
      </c>
      <c r="E10" s="10" t="s">
        <v>5</v>
      </c>
    </row>
    <row r="11" spans="1:6" x14ac:dyDescent="0.25">
      <c r="A11" s="39"/>
      <c r="B11" s="714" t="s">
        <v>16</v>
      </c>
      <c r="C11" s="714"/>
      <c r="D11" s="714"/>
      <c r="E11" s="714"/>
    </row>
    <row r="12" spans="1:6" x14ac:dyDescent="0.25">
      <c r="A12" s="81">
        <v>116030</v>
      </c>
      <c r="B12" s="3" t="s">
        <v>54</v>
      </c>
      <c r="C12" s="390">
        <v>2345918</v>
      </c>
      <c r="D12" s="390">
        <v>2291603.7400000002</v>
      </c>
      <c r="E12" s="391">
        <f>C12-D12</f>
        <v>54314.259999999776</v>
      </c>
    </row>
    <row r="13" spans="1:6" x14ac:dyDescent="0.25">
      <c r="A13" s="39"/>
      <c r="B13" s="3" t="s">
        <v>55</v>
      </c>
      <c r="C13" s="390">
        <v>516102</v>
      </c>
      <c r="D13" s="390">
        <v>504152.83</v>
      </c>
      <c r="E13" s="391">
        <f>C13-D13</f>
        <v>11949.169999999984</v>
      </c>
      <c r="F13" s="102"/>
    </row>
    <row r="14" spans="1:6" ht="30" x14ac:dyDescent="0.25">
      <c r="A14" s="39"/>
      <c r="B14" s="196" t="s">
        <v>193</v>
      </c>
      <c r="C14" s="390">
        <v>17360</v>
      </c>
      <c r="D14" s="390">
        <v>2302.6799999999998</v>
      </c>
      <c r="E14" s="392">
        <f>+C14-D14</f>
        <v>15057.32</v>
      </c>
      <c r="F14" s="102"/>
    </row>
    <row r="15" spans="1:6" ht="15.75" customHeight="1" x14ac:dyDescent="0.25">
      <c r="A15" s="763"/>
      <c r="B15" s="728" t="s">
        <v>362</v>
      </c>
      <c r="C15" s="729"/>
      <c r="D15" s="729"/>
      <c r="E15" s="730"/>
      <c r="F15" s="102"/>
    </row>
    <row r="16" spans="1:6" ht="4.5" customHeight="1" x14ac:dyDescent="0.25">
      <c r="A16" s="764"/>
      <c r="B16" s="731"/>
      <c r="C16" s="624"/>
      <c r="D16" s="624"/>
      <c r="E16" s="733"/>
      <c r="F16" s="102"/>
    </row>
    <row r="17" spans="1:6" ht="15.75" hidden="1" customHeight="1" x14ac:dyDescent="0.25">
      <c r="A17" s="764"/>
      <c r="B17" s="731"/>
      <c r="C17" s="624"/>
      <c r="D17" s="624"/>
      <c r="E17" s="733"/>
      <c r="F17" s="102"/>
    </row>
    <row r="18" spans="1:6" ht="5.25" hidden="1" customHeight="1" x14ac:dyDescent="0.25">
      <c r="A18" s="765"/>
      <c r="B18" s="734"/>
      <c r="C18" s="735"/>
      <c r="D18" s="735"/>
      <c r="E18" s="736"/>
      <c r="F18" s="102"/>
    </row>
    <row r="19" spans="1:6" ht="15" x14ac:dyDescent="0.25">
      <c r="A19" s="39"/>
      <c r="B19" s="393" t="s">
        <v>194</v>
      </c>
      <c r="C19" s="390">
        <v>305900</v>
      </c>
      <c r="D19" s="390">
        <v>294102.62</v>
      </c>
      <c r="E19" s="391">
        <f>C19-D19</f>
        <v>11797.380000000005</v>
      </c>
      <c r="F19" s="102"/>
    </row>
    <row r="20" spans="1:6" ht="15.75" customHeight="1" x14ac:dyDescent="0.25">
      <c r="A20" s="39"/>
      <c r="B20" s="766" t="s">
        <v>363</v>
      </c>
      <c r="C20" s="767"/>
      <c r="D20" s="767"/>
      <c r="E20" s="768"/>
    </row>
    <row r="21" spans="1:6" ht="15.75" customHeight="1" x14ac:dyDescent="0.25">
      <c r="A21" s="39"/>
      <c r="B21" s="769"/>
      <c r="C21" s="770"/>
      <c r="D21" s="770"/>
      <c r="E21" s="771"/>
    </row>
    <row r="22" spans="1:6" x14ac:dyDescent="0.25">
      <c r="A22" s="39"/>
      <c r="B22" s="3" t="s">
        <v>109</v>
      </c>
      <c r="C22" s="6">
        <v>3240</v>
      </c>
      <c r="D22" s="6"/>
      <c r="E22" s="391">
        <f t="shared" ref="E22" si="0">C22-D22</f>
        <v>3240</v>
      </c>
    </row>
    <row r="23" spans="1:6" x14ac:dyDescent="0.25">
      <c r="A23" s="39"/>
      <c r="B23" s="189" t="s">
        <v>36</v>
      </c>
      <c r="C23" s="551">
        <f>SUM(C12:C22)</f>
        <v>3188520</v>
      </c>
      <c r="D23" s="33">
        <f>SUM(D12:D22)</f>
        <v>3092161.8700000006</v>
      </c>
      <c r="E23" s="33">
        <f>SUM(E12:E22)</f>
        <v>96358.129999999772</v>
      </c>
      <c r="F23" s="102"/>
    </row>
    <row r="24" spans="1:6" x14ac:dyDescent="0.25">
      <c r="A24" s="715" t="s">
        <v>17</v>
      </c>
      <c r="B24" s="715"/>
      <c r="C24" s="715"/>
      <c r="D24" s="715"/>
      <c r="E24" s="715"/>
    </row>
    <row r="25" spans="1:6" ht="18" customHeight="1" x14ac:dyDescent="0.25">
      <c r="A25" s="80">
        <v>116030</v>
      </c>
      <c r="B25" s="3" t="s">
        <v>232</v>
      </c>
      <c r="C25" s="394"/>
      <c r="D25" s="394"/>
      <c r="E25" s="29">
        <f>C25-D25</f>
        <v>0</v>
      </c>
    </row>
    <row r="26" spans="1:6" x14ac:dyDescent="0.25">
      <c r="A26" s="78"/>
      <c r="B26" s="185" t="s">
        <v>36</v>
      </c>
      <c r="C26" s="395">
        <f>+C25</f>
        <v>0</v>
      </c>
      <c r="D26" s="395">
        <f>+D25</f>
        <v>0</v>
      </c>
      <c r="E26" s="85">
        <f>SUM(E25:E25)</f>
        <v>0</v>
      </c>
    </row>
    <row r="27" spans="1:6" x14ac:dyDescent="0.25">
      <c r="A27" s="39"/>
      <c r="B27" s="189" t="s">
        <v>18</v>
      </c>
      <c r="C27" s="396">
        <f>+C26</f>
        <v>0</v>
      </c>
      <c r="D27" s="396">
        <f>+D26</f>
        <v>0</v>
      </c>
      <c r="E27" s="33">
        <f>E26</f>
        <v>0</v>
      </c>
    </row>
    <row r="28" spans="1:6" x14ac:dyDescent="0.25">
      <c r="A28" s="59"/>
      <c r="B28" s="236" t="s">
        <v>37</v>
      </c>
      <c r="C28" s="33">
        <f>C23+C27</f>
        <v>3188520</v>
      </c>
      <c r="D28" s="33">
        <f>D23+D27</f>
        <v>3092161.8700000006</v>
      </c>
      <c r="E28" s="33">
        <f>E23+E27</f>
        <v>96358.129999999772</v>
      </c>
    </row>
    <row r="29" spans="1:6" x14ac:dyDescent="0.25">
      <c r="A29" s="59"/>
      <c r="B29" s="70" t="s">
        <v>35</v>
      </c>
      <c r="C29" s="62"/>
      <c r="D29" s="66">
        <f>D28/C28*100</f>
        <v>96.977966893731278</v>
      </c>
      <c r="E29" s="67" t="s">
        <v>34</v>
      </c>
    </row>
    <row r="30" spans="1:6" ht="77.25" customHeight="1" x14ac:dyDescent="0.25">
      <c r="A30" s="740" t="s">
        <v>120</v>
      </c>
      <c r="B30" s="740"/>
      <c r="C30" s="740"/>
      <c r="D30" s="740"/>
      <c r="E30" s="740"/>
    </row>
    <row r="31" spans="1:6" ht="18.75" customHeight="1" x14ac:dyDescent="0.25">
      <c r="B31" s="646"/>
      <c r="C31" s="646"/>
      <c r="D31" s="646"/>
      <c r="E31" s="646"/>
    </row>
    <row r="32" spans="1:6" ht="15" x14ac:dyDescent="0.25">
      <c r="A32" t="s">
        <v>173</v>
      </c>
      <c r="B32"/>
      <c r="C32" s="303"/>
      <c r="D32" s="149" t="s">
        <v>174</v>
      </c>
      <c r="E32" t="s">
        <v>175</v>
      </c>
    </row>
  </sheetData>
  <mergeCells count="11">
    <mergeCell ref="D1:E1"/>
    <mergeCell ref="A24:E24"/>
    <mergeCell ref="A30:E30"/>
    <mergeCell ref="B31:E31"/>
    <mergeCell ref="B11:E11"/>
    <mergeCell ref="A4:E4"/>
    <mergeCell ref="A5:E5"/>
    <mergeCell ref="A6:E6"/>
    <mergeCell ref="B15:E18"/>
    <mergeCell ref="A15:A18"/>
    <mergeCell ref="B20:E21"/>
  </mergeCells>
  <pageMargins left="0.39370078740157483" right="0.39370078740157483"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10"/>
  <sheetViews>
    <sheetView workbookViewId="0">
      <selection activeCell="J7" sqref="J7"/>
    </sheetView>
  </sheetViews>
  <sheetFormatPr defaultRowHeight="15.75" x14ac:dyDescent="0.25"/>
  <cols>
    <col min="1" max="1" width="7.140625" style="42" customWidth="1"/>
    <col min="2" max="2" width="39.7109375" style="1" customWidth="1"/>
    <col min="3" max="3" width="16.42578125" style="4" customWidth="1"/>
    <col min="4" max="4" width="15" style="4" customWidth="1"/>
    <col min="5" max="5" width="15.140625" style="4" customWidth="1"/>
    <col min="8" max="8" width="14.7109375" bestFit="1" customWidth="1"/>
  </cols>
  <sheetData>
    <row r="1" spans="1:8" x14ac:dyDescent="0.25">
      <c r="D1" s="631" t="s">
        <v>620</v>
      </c>
      <c r="E1" s="631"/>
    </row>
    <row r="2" spans="1:8" x14ac:dyDescent="0.25">
      <c r="D2" t="s">
        <v>171</v>
      </c>
      <c r="E2" s="1"/>
    </row>
    <row r="3" spans="1:8" ht="17.25" x14ac:dyDescent="0.25">
      <c r="B3" s="38"/>
      <c r="D3" t="s">
        <v>597</v>
      </c>
      <c r="E3" s="1"/>
    </row>
    <row r="4" spans="1:8" x14ac:dyDescent="0.25">
      <c r="A4" s="650" t="s">
        <v>122</v>
      </c>
      <c r="B4" s="650"/>
      <c r="C4" s="650"/>
      <c r="D4" s="650"/>
      <c r="E4" s="650"/>
    </row>
    <row r="5" spans="1:8" x14ac:dyDescent="0.25">
      <c r="A5" s="650" t="s">
        <v>20</v>
      </c>
      <c r="B5" s="650"/>
      <c r="C5" s="650"/>
      <c r="D5" s="650"/>
      <c r="E5" s="650"/>
    </row>
    <row r="6" spans="1:8" ht="20.25" customHeight="1" x14ac:dyDescent="0.25">
      <c r="A6" s="773" t="s">
        <v>501</v>
      </c>
      <c r="B6" s="773"/>
      <c r="C6" s="773"/>
      <c r="D6" s="773"/>
      <c r="E6" s="773"/>
    </row>
    <row r="7" spans="1:8" ht="306.75" customHeight="1" x14ac:dyDescent="0.25">
      <c r="A7" s="647" t="s">
        <v>134</v>
      </c>
      <c r="B7" s="647"/>
      <c r="C7" s="647"/>
      <c r="D7" s="647"/>
      <c r="E7" s="647"/>
    </row>
    <row r="8" spans="1:8" ht="16.5" x14ac:dyDescent="0.25">
      <c r="A8" s="205" t="s">
        <v>502</v>
      </c>
      <c r="B8" s="205"/>
      <c r="C8" s="205"/>
      <c r="D8" s="430">
        <f>+D105</f>
        <v>31331241.629999999</v>
      </c>
      <c r="E8" s="205"/>
      <c r="H8" s="194"/>
    </row>
    <row r="9" spans="1:8" ht="30" x14ac:dyDescent="0.25">
      <c r="A9" s="150" t="s">
        <v>22</v>
      </c>
      <c r="B9" s="10" t="s">
        <v>12</v>
      </c>
      <c r="C9" s="10" t="s">
        <v>1</v>
      </c>
      <c r="D9" s="10" t="s">
        <v>11</v>
      </c>
      <c r="E9" s="10" t="s">
        <v>5</v>
      </c>
      <c r="H9" s="194"/>
    </row>
    <row r="10" spans="1:8" ht="30" customHeight="1" x14ac:dyDescent="0.25">
      <c r="A10" s="150">
        <v>111010</v>
      </c>
      <c r="B10" s="591" t="s">
        <v>503</v>
      </c>
      <c r="C10" s="413">
        <v>0</v>
      </c>
      <c r="D10" s="458">
        <v>0</v>
      </c>
      <c r="E10" s="414">
        <f>+C10-D10</f>
        <v>0</v>
      </c>
      <c r="H10" s="194"/>
    </row>
    <row r="11" spans="1:8" ht="31.5" x14ac:dyDescent="0.25">
      <c r="A11" s="150"/>
      <c r="B11" s="403" t="s">
        <v>504</v>
      </c>
      <c r="C11" s="413">
        <v>199000</v>
      </c>
      <c r="D11" s="458">
        <v>198672.4</v>
      </c>
      <c r="E11" s="414">
        <f t="shared" ref="E11:E24" si="0">+C11-D11</f>
        <v>327.60000000000582</v>
      </c>
      <c r="H11" s="194"/>
    </row>
    <row r="12" spans="1:8" ht="47.25" x14ac:dyDescent="0.25">
      <c r="A12" s="150"/>
      <c r="B12" s="403" t="s">
        <v>505</v>
      </c>
      <c r="C12" s="413">
        <v>319766</v>
      </c>
      <c r="D12" s="413">
        <v>319765.2</v>
      </c>
      <c r="E12" s="414">
        <f t="shared" si="0"/>
        <v>0.79999999998835847</v>
      </c>
      <c r="H12" s="194"/>
    </row>
    <row r="13" spans="1:8" ht="47.25" x14ac:dyDescent="0.25">
      <c r="A13" s="150"/>
      <c r="B13" s="403" t="s">
        <v>506</v>
      </c>
      <c r="C13" s="413">
        <v>16900</v>
      </c>
      <c r="D13" s="413">
        <v>16863.16</v>
      </c>
      <c r="E13" s="414">
        <f t="shared" si="0"/>
        <v>36.840000000000146</v>
      </c>
      <c r="H13" s="194"/>
    </row>
    <row r="14" spans="1:8" ht="63" x14ac:dyDescent="0.25">
      <c r="A14" s="150"/>
      <c r="B14" s="403" t="s">
        <v>507</v>
      </c>
      <c r="C14" s="413">
        <v>121500</v>
      </c>
      <c r="D14" s="413">
        <v>22210.25</v>
      </c>
      <c r="E14" s="414">
        <f t="shared" si="0"/>
        <v>99289.75</v>
      </c>
      <c r="H14" s="194"/>
    </row>
    <row r="15" spans="1:8" ht="47.25" x14ac:dyDescent="0.25">
      <c r="A15" s="150"/>
      <c r="B15" s="415" t="s">
        <v>508</v>
      </c>
      <c r="C15" s="457">
        <v>386500</v>
      </c>
      <c r="D15" s="413">
        <v>385429.4</v>
      </c>
      <c r="E15" s="414">
        <f t="shared" si="0"/>
        <v>1070.5999999999767</v>
      </c>
      <c r="H15" s="194"/>
    </row>
    <row r="16" spans="1:8" ht="63" x14ac:dyDescent="0.25">
      <c r="A16" s="150"/>
      <c r="B16" s="415" t="s">
        <v>509</v>
      </c>
      <c r="C16" s="457">
        <v>605400</v>
      </c>
      <c r="D16" s="413">
        <v>603081.43999999994</v>
      </c>
      <c r="E16" s="414">
        <f t="shared" si="0"/>
        <v>2318.5600000000559</v>
      </c>
      <c r="H16" s="194"/>
    </row>
    <row r="17" spans="1:8" ht="47.25" x14ac:dyDescent="0.25">
      <c r="A17" s="150"/>
      <c r="B17" s="591" t="s">
        <v>510</v>
      </c>
      <c r="C17" s="413">
        <v>391300</v>
      </c>
      <c r="D17" s="413">
        <v>349948.84</v>
      </c>
      <c r="E17" s="414">
        <f t="shared" si="0"/>
        <v>41351.159999999974</v>
      </c>
      <c r="H17" s="194"/>
    </row>
    <row r="18" spans="1:8" ht="31.5" x14ac:dyDescent="0.25">
      <c r="A18" s="150"/>
      <c r="B18" s="591" t="s">
        <v>511</v>
      </c>
      <c r="C18" s="413">
        <v>701933</v>
      </c>
      <c r="D18" s="413">
        <v>699806.26</v>
      </c>
      <c r="E18" s="414">
        <f t="shared" si="0"/>
        <v>2126.7399999999907</v>
      </c>
      <c r="H18" s="194"/>
    </row>
    <row r="19" spans="1:8" ht="31.5" x14ac:dyDescent="0.25">
      <c r="A19" s="150"/>
      <c r="B19" s="591" t="s">
        <v>512</v>
      </c>
      <c r="C19" s="413">
        <v>34600</v>
      </c>
      <c r="D19" s="413"/>
      <c r="E19" s="414">
        <f t="shared" si="0"/>
        <v>34600</v>
      </c>
      <c r="H19" s="194"/>
    </row>
    <row r="20" spans="1:8" ht="65.25" customHeight="1" x14ac:dyDescent="0.25">
      <c r="A20" s="150"/>
      <c r="B20" s="591" t="s">
        <v>513</v>
      </c>
      <c r="C20" s="413">
        <v>6000000</v>
      </c>
      <c r="D20" s="413">
        <v>3010777.08</v>
      </c>
      <c r="E20" s="414">
        <f t="shared" si="0"/>
        <v>2989222.92</v>
      </c>
      <c r="H20" s="194"/>
    </row>
    <row r="21" spans="1:8" ht="16.5" hidden="1" x14ac:dyDescent="0.25">
      <c r="A21" s="150"/>
      <c r="B21" s="403"/>
      <c r="C21" s="413"/>
      <c r="D21" s="413"/>
      <c r="E21" s="414">
        <f t="shared" si="0"/>
        <v>0</v>
      </c>
      <c r="H21" s="194"/>
    </row>
    <row r="22" spans="1:8" ht="16.5" hidden="1" x14ac:dyDescent="0.25">
      <c r="A22" s="150"/>
      <c r="B22" s="415"/>
      <c r="C22" s="413"/>
      <c r="D22" s="413"/>
      <c r="E22" s="414">
        <f t="shared" si="0"/>
        <v>0</v>
      </c>
      <c r="H22" s="194"/>
    </row>
    <row r="23" spans="1:8" ht="16.5" hidden="1" x14ac:dyDescent="0.25">
      <c r="A23" s="150"/>
      <c r="B23" s="403"/>
      <c r="C23" s="413"/>
      <c r="D23" s="413"/>
      <c r="E23" s="414">
        <f t="shared" si="0"/>
        <v>0</v>
      </c>
      <c r="H23" s="194"/>
    </row>
    <row r="24" spans="1:8" ht="16.5" x14ac:dyDescent="0.25">
      <c r="A24" s="150"/>
      <c r="B24" s="403"/>
      <c r="C24" s="413"/>
      <c r="D24" s="413"/>
      <c r="E24" s="414">
        <f t="shared" si="0"/>
        <v>0</v>
      </c>
      <c r="H24" s="194"/>
    </row>
    <row r="25" spans="1:8" ht="16.5" x14ac:dyDescent="0.25">
      <c r="A25" s="150"/>
      <c r="B25" s="20" t="s">
        <v>36</v>
      </c>
      <c r="C25" s="411">
        <f>SUM(C10:C24)</f>
        <v>8776899</v>
      </c>
      <c r="D25" s="411">
        <f>SUM(D10:D24)</f>
        <v>5606554.0300000003</v>
      </c>
      <c r="E25" s="411">
        <f>+C25-D25</f>
        <v>3170344.9699999997</v>
      </c>
      <c r="H25" s="194"/>
    </row>
    <row r="26" spans="1:8" ht="47.25" x14ac:dyDescent="0.25">
      <c r="A26" s="43">
        <v>111021</v>
      </c>
      <c r="B26" s="123" t="s">
        <v>514</v>
      </c>
      <c r="C26" s="124">
        <v>0</v>
      </c>
      <c r="D26" s="416">
        <v>0</v>
      </c>
      <c r="E26" s="124">
        <f>C26-D26</f>
        <v>0</v>
      </c>
    </row>
    <row r="27" spans="1:8" ht="47.25" x14ac:dyDescent="0.25">
      <c r="A27" s="43"/>
      <c r="B27" s="123" t="s">
        <v>514</v>
      </c>
      <c r="C27" s="124">
        <v>0</v>
      </c>
      <c r="D27" s="412">
        <v>0</v>
      </c>
      <c r="E27" s="124">
        <f t="shared" ref="E27:E37" si="1">C27-D27</f>
        <v>0</v>
      </c>
    </row>
    <row r="28" spans="1:8" ht="47.25" x14ac:dyDescent="0.25">
      <c r="A28" s="43"/>
      <c r="B28" s="123" t="s">
        <v>515</v>
      </c>
      <c r="C28" s="124">
        <v>485666</v>
      </c>
      <c r="D28" s="412">
        <v>483168.54</v>
      </c>
      <c r="E28" s="124">
        <f t="shared" si="1"/>
        <v>2497.460000000021</v>
      </c>
    </row>
    <row r="29" spans="1:8" ht="141.75" x14ac:dyDescent="0.25">
      <c r="A29" s="43"/>
      <c r="B29" s="123" t="s">
        <v>516</v>
      </c>
      <c r="C29" s="124">
        <v>10000</v>
      </c>
      <c r="D29" s="412">
        <v>0</v>
      </c>
      <c r="E29" s="124">
        <f t="shared" si="1"/>
        <v>10000</v>
      </c>
    </row>
    <row r="30" spans="1:8" ht="47.25" x14ac:dyDescent="0.25">
      <c r="A30" s="43"/>
      <c r="B30" s="123" t="s">
        <v>517</v>
      </c>
      <c r="C30" s="124">
        <v>28200</v>
      </c>
      <c r="D30" s="412">
        <v>28105.26</v>
      </c>
      <c r="E30" s="124">
        <f t="shared" si="1"/>
        <v>94.740000000001601</v>
      </c>
    </row>
    <row r="31" spans="1:8" ht="47.25" x14ac:dyDescent="0.25">
      <c r="A31" s="43"/>
      <c r="B31" s="123" t="s">
        <v>518</v>
      </c>
      <c r="C31" s="124">
        <v>28110</v>
      </c>
      <c r="D31" s="412">
        <v>0</v>
      </c>
      <c r="E31" s="124">
        <f t="shared" si="1"/>
        <v>28110</v>
      </c>
    </row>
    <row r="32" spans="1:8" ht="47.25" x14ac:dyDescent="0.25">
      <c r="A32" s="43"/>
      <c r="B32" s="123" t="s">
        <v>519</v>
      </c>
      <c r="C32" s="124">
        <v>24400</v>
      </c>
      <c r="D32" s="412">
        <v>24357.89</v>
      </c>
      <c r="E32" s="124">
        <f t="shared" si="1"/>
        <v>42.110000000000582</v>
      </c>
    </row>
    <row r="33" spans="1:8" ht="31.5" x14ac:dyDescent="0.25">
      <c r="A33" s="43"/>
      <c r="B33" s="123" t="s">
        <v>520</v>
      </c>
      <c r="C33" s="124">
        <v>298420</v>
      </c>
      <c r="D33" s="412">
        <v>250883.71</v>
      </c>
      <c r="E33" s="124">
        <f t="shared" si="1"/>
        <v>47536.290000000008</v>
      </c>
    </row>
    <row r="34" spans="1:8" ht="47.25" x14ac:dyDescent="0.25">
      <c r="A34" s="43"/>
      <c r="B34" s="123" t="s">
        <v>521</v>
      </c>
      <c r="C34" s="124">
        <v>20620</v>
      </c>
      <c r="D34" s="412">
        <v>20610.53</v>
      </c>
      <c r="E34" s="124">
        <f t="shared" si="1"/>
        <v>9.4700000000011642</v>
      </c>
    </row>
    <row r="35" spans="1:8" ht="47.25" x14ac:dyDescent="0.25">
      <c r="A35" s="43"/>
      <c r="B35" s="123" t="s">
        <v>522</v>
      </c>
      <c r="C35" s="124">
        <v>295154</v>
      </c>
      <c r="D35" s="412">
        <v>294264.96000000002</v>
      </c>
      <c r="E35" s="124">
        <f t="shared" si="1"/>
        <v>889.03999999997905</v>
      </c>
    </row>
    <row r="36" spans="1:8" ht="31.5" x14ac:dyDescent="0.25">
      <c r="A36" s="43"/>
      <c r="B36" s="123" t="s">
        <v>523</v>
      </c>
      <c r="C36" s="124">
        <v>980000</v>
      </c>
      <c r="D36" s="412">
        <v>976543.18</v>
      </c>
      <c r="E36" s="124">
        <f t="shared" si="1"/>
        <v>3456.8199999999488</v>
      </c>
    </row>
    <row r="37" spans="1:8" ht="47.25" x14ac:dyDescent="0.25">
      <c r="A37" s="43"/>
      <c r="B37" s="123" t="s">
        <v>524</v>
      </c>
      <c r="C37" s="124">
        <v>77800</v>
      </c>
      <c r="D37" s="412">
        <v>77757</v>
      </c>
      <c r="E37" s="124">
        <f t="shared" si="1"/>
        <v>43</v>
      </c>
    </row>
    <row r="38" spans="1:8" x14ac:dyDescent="0.25">
      <c r="A38" s="43"/>
      <c r="B38" s="123"/>
      <c r="C38" s="124"/>
      <c r="D38" s="412"/>
      <c r="E38" s="124">
        <f t="shared" ref="E38:E103" si="2">C38-D38</f>
        <v>0</v>
      </c>
    </row>
    <row r="39" spans="1:8" x14ac:dyDescent="0.25">
      <c r="A39" s="43"/>
      <c r="B39" s="20" t="s">
        <v>36</v>
      </c>
      <c r="C39" s="162">
        <f>SUM(C26:C38)</f>
        <v>2248370</v>
      </c>
      <c r="D39" s="162">
        <f>SUM(D26:D38)</f>
        <v>2155691.0699999998</v>
      </c>
      <c r="E39" s="162">
        <f>C39-D39</f>
        <v>92678.930000000168</v>
      </c>
    </row>
    <row r="40" spans="1:8" ht="69" customHeight="1" x14ac:dyDescent="0.25">
      <c r="A40" s="422">
        <v>112152</v>
      </c>
      <c r="B40" s="420" t="s">
        <v>525</v>
      </c>
      <c r="C40" s="423">
        <v>176000</v>
      </c>
      <c r="D40" s="612">
        <v>175998.68</v>
      </c>
      <c r="E40" s="421">
        <f t="shared" ref="E40:E48" si="3">+C40-D40</f>
        <v>1.3200000000069849</v>
      </c>
      <c r="H40" s="459"/>
    </row>
    <row r="41" spans="1:8" ht="49.5" customHeight="1" x14ac:dyDescent="0.25">
      <c r="A41" s="422"/>
      <c r="B41" s="420" t="s">
        <v>526</v>
      </c>
      <c r="C41" s="423">
        <v>407000</v>
      </c>
      <c r="D41" s="612">
        <v>399055.91</v>
      </c>
      <c r="E41" s="423">
        <f t="shared" si="3"/>
        <v>7944.0900000000256</v>
      </c>
      <c r="H41" s="459"/>
    </row>
    <row r="42" spans="1:8" ht="46.5" customHeight="1" x14ac:dyDescent="0.25">
      <c r="A42" s="422"/>
      <c r="B42" s="420" t="s">
        <v>527</v>
      </c>
      <c r="C42" s="423">
        <v>180000</v>
      </c>
      <c r="D42" s="612">
        <v>169932.55</v>
      </c>
      <c r="E42" s="423">
        <f t="shared" si="3"/>
        <v>10067.450000000012</v>
      </c>
      <c r="H42" s="459"/>
    </row>
    <row r="43" spans="1:8" ht="47.25" x14ac:dyDescent="0.25">
      <c r="A43" s="419"/>
      <c r="B43" s="420" t="s">
        <v>528</v>
      </c>
      <c r="C43" s="423">
        <v>474000</v>
      </c>
      <c r="D43" s="612">
        <v>433913.89</v>
      </c>
      <c r="E43" s="423">
        <f t="shared" si="3"/>
        <v>40086.109999999986</v>
      </c>
    </row>
    <row r="44" spans="1:8" x14ac:dyDescent="0.25">
      <c r="A44" s="419"/>
      <c r="B44" s="20" t="s">
        <v>36</v>
      </c>
      <c r="C44" s="424">
        <f>SUM(C40:C43)</f>
        <v>1237000</v>
      </c>
      <c r="D44" s="424">
        <f>SUM(D40:D43)</f>
        <v>1178901.0299999998</v>
      </c>
      <c r="E44" s="424">
        <f t="shared" si="3"/>
        <v>58098.970000000205</v>
      </c>
    </row>
    <row r="45" spans="1:8" ht="47.25" x14ac:dyDescent="0.25">
      <c r="A45" s="614">
        <v>114081</v>
      </c>
      <c r="B45" s="420" t="s">
        <v>529</v>
      </c>
      <c r="C45" s="423">
        <v>98000</v>
      </c>
      <c r="D45" s="423">
        <v>97964.4</v>
      </c>
      <c r="E45" s="423">
        <f>+C45-D45</f>
        <v>35.600000000005821</v>
      </c>
    </row>
    <row r="46" spans="1:8" x14ac:dyDescent="0.25">
      <c r="A46" s="419"/>
      <c r="B46" s="420"/>
      <c r="C46" s="423"/>
      <c r="D46" s="423"/>
      <c r="E46" s="414"/>
    </row>
    <row r="47" spans="1:8" x14ac:dyDescent="0.25">
      <c r="A47" s="419"/>
      <c r="B47" s="20" t="s">
        <v>36</v>
      </c>
      <c r="C47" s="424">
        <f>SUM(C45:C46)</f>
        <v>98000</v>
      </c>
      <c r="D47" s="424">
        <f>SUM(D45:D46)</f>
        <v>97964.4</v>
      </c>
      <c r="E47" s="424">
        <f t="shared" si="3"/>
        <v>35.600000000005821</v>
      </c>
    </row>
    <row r="48" spans="1:8" ht="78.75" x14ac:dyDescent="0.25">
      <c r="A48" s="43">
        <v>116013</v>
      </c>
      <c r="B48" s="3" t="s">
        <v>530</v>
      </c>
      <c r="C48" s="613">
        <v>1000001</v>
      </c>
      <c r="D48" s="613">
        <v>1000000.39</v>
      </c>
      <c r="E48" s="424">
        <f t="shared" si="3"/>
        <v>0.60999999998603016</v>
      </c>
    </row>
    <row r="49" spans="1:5" hidden="1" x14ac:dyDescent="0.25">
      <c r="A49" s="43"/>
      <c r="B49" s="123"/>
      <c r="C49" s="124"/>
      <c r="D49" s="412"/>
      <c r="E49" s="124"/>
    </row>
    <row r="50" spans="1:5" hidden="1" x14ac:dyDescent="0.25">
      <c r="A50" s="43"/>
      <c r="B50" s="123"/>
      <c r="C50" s="124"/>
      <c r="D50" s="412"/>
      <c r="E50" s="124"/>
    </row>
    <row r="51" spans="1:5" hidden="1" x14ac:dyDescent="0.25">
      <c r="A51" s="43"/>
      <c r="B51" s="123"/>
      <c r="C51" s="124"/>
      <c r="D51" s="412"/>
      <c r="E51" s="124"/>
    </row>
    <row r="52" spans="1:5" hidden="1" x14ac:dyDescent="0.25">
      <c r="A52" s="43"/>
      <c r="B52" s="123"/>
      <c r="C52" s="124"/>
      <c r="D52" s="412"/>
      <c r="E52" s="124"/>
    </row>
    <row r="53" spans="1:5" x14ac:dyDescent="0.25">
      <c r="A53" s="44"/>
      <c r="B53" s="5" t="s">
        <v>36</v>
      </c>
      <c r="C53" s="164">
        <f>SUM(C48:C52)</f>
        <v>1000001</v>
      </c>
      <c r="D53" s="164">
        <f>SUM(D48:D52)</f>
        <v>1000000.39</v>
      </c>
      <c r="E53" s="164">
        <f>SUM(E48:E52)</f>
        <v>0.60999999998603016</v>
      </c>
    </row>
    <row r="54" spans="1:5" ht="84.75" customHeight="1" x14ac:dyDescent="0.25">
      <c r="A54" s="43">
        <v>116030</v>
      </c>
      <c r="B54" s="3" t="s">
        <v>236</v>
      </c>
      <c r="C54" s="613">
        <v>1977600</v>
      </c>
      <c r="D54" s="613">
        <v>1936130.29</v>
      </c>
      <c r="E54" s="613">
        <f>+C54-D54</f>
        <v>41469.709999999963</v>
      </c>
    </row>
    <row r="55" spans="1:5" ht="78.75" x14ac:dyDescent="0.25">
      <c r="A55" s="43"/>
      <c r="B55" s="3" t="s">
        <v>531</v>
      </c>
      <c r="C55" s="613">
        <v>551180</v>
      </c>
      <c r="D55" s="613">
        <v>0</v>
      </c>
      <c r="E55" s="613">
        <f t="shared" ref="E55:E58" si="4">+C55-D55</f>
        <v>551180</v>
      </c>
    </row>
    <row r="56" spans="1:5" ht="94.5" x14ac:dyDescent="0.25">
      <c r="A56" s="43"/>
      <c r="B56" s="3" t="s">
        <v>532</v>
      </c>
      <c r="C56" s="613">
        <v>195000</v>
      </c>
      <c r="D56" s="613">
        <v>0</v>
      </c>
      <c r="E56" s="613">
        <f t="shared" si="4"/>
        <v>195000</v>
      </c>
    </row>
    <row r="57" spans="1:5" x14ac:dyDescent="0.25">
      <c r="A57" s="43"/>
      <c r="B57" s="3"/>
      <c r="C57" s="613"/>
      <c r="D57" s="613"/>
      <c r="E57" s="613">
        <f t="shared" si="4"/>
        <v>0</v>
      </c>
    </row>
    <row r="58" spans="1:5" x14ac:dyDescent="0.25">
      <c r="A58" s="43"/>
      <c r="B58" s="3"/>
      <c r="C58" s="613"/>
      <c r="D58" s="613"/>
      <c r="E58" s="613">
        <f t="shared" si="4"/>
        <v>0</v>
      </c>
    </row>
    <row r="59" spans="1:5" x14ac:dyDescent="0.25">
      <c r="A59" s="44"/>
      <c r="B59" s="5" t="s">
        <v>36</v>
      </c>
      <c r="C59" s="164">
        <f>SUM(C54:C58)</f>
        <v>2723780</v>
      </c>
      <c r="D59" s="164">
        <f t="shared" ref="D59:E59" si="5">SUM(D54:D58)</f>
        <v>1936130.29</v>
      </c>
      <c r="E59" s="164">
        <f t="shared" si="5"/>
        <v>787649.71</v>
      </c>
    </row>
    <row r="60" spans="1:5" ht="78.75" x14ac:dyDescent="0.25">
      <c r="A60" s="43">
        <v>117310</v>
      </c>
      <c r="B60" s="3" t="s">
        <v>235</v>
      </c>
      <c r="C60" s="167">
        <v>11288639</v>
      </c>
      <c r="D60" s="166">
        <v>4589554.34</v>
      </c>
      <c r="E60" s="425">
        <f>+C60-D60</f>
        <v>6699084.6600000001</v>
      </c>
    </row>
    <row r="61" spans="1:5" ht="94.5" x14ac:dyDescent="0.25">
      <c r="A61" s="43"/>
      <c r="B61" s="3" t="s">
        <v>533</v>
      </c>
      <c r="C61" s="167">
        <v>94365</v>
      </c>
      <c r="D61" s="166">
        <v>94364.62</v>
      </c>
      <c r="E61" s="425">
        <f t="shared" ref="E61:E67" si="6">+C61-D61</f>
        <v>0.38000000000465661</v>
      </c>
    </row>
    <row r="62" spans="1:5" ht="78.75" x14ac:dyDescent="0.25">
      <c r="A62" s="43"/>
      <c r="B62" s="3" t="s">
        <v>534</v>
      </c>
      <c r="C62" s="167">
        <v>179200</v>
      </c>
      <c r="D62" s="166">
        <v>0</v>
      </c>
      <c r="E62" s="425">
        <f t="shared" si="6"/>
        <v>179200</v>
      </c>
    </row>
    <row r="63" spans="1:5" ht="78.75" x14ac:dyDescent="0.25">
      <c r="A63" s="43"/>
      <c r="B63" s="3" t="s">
        <v>535</v>
      </c>
      <c r="C63" s="167">
        <v>2889019</v>
      </c>
      <c r="D63" s="166">
        <v>2889018.62</v>
      </c>
      <c r="E63" s="425">
        <f t="shared" si="6"/>
        <v>0.37999999988824129</v>
      </c>
    </row>
    <row r="64" spans="1:5" ht="110.25" x14ac:dyDescent="0.25">
      <c r="A64" s="43"/>
      <c r="B64" s="3" t="s">
        <v>536</v>
      </c>
      <c r="C64" s="167">
        <v>90000</v>
      </c>
      <c r="D64" s="166">
        <v>0</v>
      </c>
      <c r="E64" s="425">
        <f t="shared" si="6"/>
        <v>90000</v>
      </c>
    </row>
    <row r="65" spans="1:5" ht="63" x14ac:dyDescent="0.25">
      <c r="A65" s="43"/>
      <c r="B65" s="3" t="s">
        <v>537</v>
      </c>
      <c r="C65" s="167">
        <v>30000</v>
      </c>
      <c r="D65" s="166"/>
      <c r="E65" s="425">
        <f t="shared" si="6"/>
        <v>30000</v>
      </c>
    </row>
    <row r="66" spans="1:5" ht="66" customHeight="1" x14ac:dyDescent="0.25">
      <c r="A66" s="43"/>
      <c r="B66" s="3" t="s">
        <v>538</v>
      </c>
      <c r="C66" s="167">
        <v>800000</v>
      </c>
      <c r="D66" s="166">
        <v>797200</v>
      </c>
      <c r="E66" s="425">
        <f t="shared" si="6"/>
        <v>2800</v>
      </c>
    </row>
    <row r="67" spans="1:5" x14ac:dyDescent="0.25">
      <c r="A67" s="43"/>
      <c r="B67" s="3"/>
      <c r="C67" s="167"/>
      <c r="D67" s="166"/>
      <c r="E67" s="425">
        <f t="shared" si="6"/>
        <v>0</v>
      </c>
    </row>
    <row r="68" spans="1:5" x14ac:dyDescent="0.25">
      <c r="A68" s="44"/>
      <c r="B68" s="5" t="s">
        <v>36</v>
      </c>
      <c r="C68" s="168">
        <f>SUM(C60:C67)</f>
        <v>15371223</v>
      </c>
      <c r="D68" s="168">
        <f>SUM(D60:D67)</f>
        <v>8370137.5800000001</v>
      </c>
      <c r="E68" s="426">
        <f>+C68-D68</f>
        <v>7001085.4199999999</v>
      </c>
    </row>
    <row r="69" spans="1:5" ht="82.5" customHeight="1" x14ac:dyDescent="0.25">
      <c r="A69" s="44">
        <v>117321</v>
      </c>
      <c r="B69" s="3" t="s">
        <v>539</v>
      </c>
      <c r="C69" s="167">
        <v>899737</v>
      </c>
      <c r="D69" s="615">
        <v>899736.36</v>
      </c>
      <c r="E69" s="428">
        <f>+C69-D69</f>
        <v>0.64000000001396984</v>
      </c>
    </row>
    <row r="70" spans="1:5" ht="126.75" customHeight="1" x14ac:dyDescent="0.25">
      <c r="A70" s="44"/>
      <c r="B70" s="3" t="s">
        <v>540</v>
      </c>
      <c r="C70" s="167">
        <v>150000</v>
      </c>
      <c r="D70" s="615">
        <v>148891.5</v>
      </c>
      <c r="E70" s="428">
        <f t="shared" ref="E70:E75" si="7">+C70-D70</f>
        <v>1108.5</v>
      </c>
    </row>
    <row r="71" spans="1:5" ht="111" customHeight="1" x14ac:dyDescent="0.25">
      <c r="A71" s="44"/>
      <c r="B71" s="3" t="s">
        <v>541</v>
      </c>
      <c r="C71" s="167">
        <v>0</v>
      </c>
      <c r="D71" s="615">
        <v>0</v>
      </c>
      <c r="E71" s="428">
        <f t="shared" si="7"/>
        <v>0</v>
      </c>
    </row>
    <row r="72" spans="1:5" ht="95.25" customHeight="1" x14ac:dyDescent="0.25">
      <c r="A72" s="44"/>
      <c r="B72" s="3" t="s">
        <v>542</v>
      </c>
      <c r="C72" s="167">
        <v>190000</v>
      </c>
      <c r="D72" s="615">
        <v>190000</v>
      </c>
      <c r="E72" s="428">
        <f t="shared" si="7"/>
        <v>0</v>
      </c>
    </row>
    <row r="73" spans="1:5" ht="35.25" customHeight="1" x14ac:dyDescent="0.25">
      <c r="A73" s="44"/>
      <c r="B73" s="3" t="s">
        <v>543</v>
      </c>
      <c r="C73" s="167">
        <v>56606</v>
      </c>
      <c r="D73" s="615">
        <v>46594</v>
      </c>
      <c r="E73" s="428">
        <f t="shared" si="7"/>
        <v>10012</v>
      </c>
    </row>
    <row r="74" spans="1:5" ht="94.5" x14ac:dyDescent="0.25">
      <c r="A74" s="44"/>
      <c r="B74" s="3" t="s">
        <v>544</v>
      </c>
      <c r="C74" s="167">
        <v>29051</v>
      </c>
      <c r="D74" s="615">
        <v>29050.22</v>
      </c>
      <c r="E74" s="428">
        <f t="shared" si="7"/>
        <v>0.77999999999883585</v>
      </c>
    </row>
    <row r="75" spans="1:5" ht="126" x14ac:dyDescent="0.25">
      <c r="A75" s="44"/>
      <c r="B75" s="3" t="s">
        <v>545</v>
      </c>
      <c r="C75" s="167">
        <v>10680</v>
      </c>
      <c r="D75" s="167">
        <v>0</v>
      </c>
      <c r="E75" s="428">
        <f t="shared" si="7"/>
        <v>10680</v>
      </c>
    </row>
    <row r="76" spans="1:5" x14ac:dyDescent="0.25">
      <c r="A76" s="44"/>
      <c r="B76" s="5" t="s">
        <v>36</v>
      </c>
      <c r="C76" s="168">
        <f>SUM(C69:C75)</f>
        <v>1336074</v>
      </c>
      <c r="D76" s="168">
        <f>SUM(D69:D75)</f>
        <v>1314272.0799999998</v>
      </c>
      <c r="E76" s="428">
        <f t="shared" ref="E76" si="8">+C76-D76</f>
        <v>21801.920000000158</v>
      </c>
    </row>
    <row r="77" spans="1:5" ht="47.25" x14ac:dyDescent="0.25">
      <c r="A77" s="43">
        <v>117323</v>
      </c>
      <c r="B77" s="3" t="s">
        <v>546</v>
      </c>
      <c r="C77" s="167">
        <v>45317</v>
      </c>
      <c r="D77" s="166">
        <v>0</v>
      </c>
      <c r="E77" s="414">
        <f>+C77-D77</f>
        <v>45317</v>
      </c>
    </row>
    <row r="78" spans="1:5" hidden="1" x14ac:dyDescent="0.25">
      <c r="A78" s="43"/>
      <c r="B78" s="3"/>
      <c r="C78" s="167"/>
      <c r="D78" s="166"/>
      <c r="E78" s="414">
        <f t="shared" ref="E78:E80" si="9">+C78-D78</f>
        <v>0</v>
      </c>
    </row>
    <row r="79" spans="1:5" hidden="1" x14ac:dyDescent="0.25">
      <c r="A79" s="43"/>
      <c r="B79" s="3"/>
      <c r="C79" s="167"/>
      <c r="D79" s="166"/>
      <c r="E79" s="414">
        <f t="shared" si="9"/>
        <v>0</v>
      </c>
    </row>
    <row r="80" spans="1:5" x14ac:dyDescent="0.25">
      <c r="A80" s="44"/>
      <c r="B80" s="5" t="s">
        <v>36</v>
      </c>
      <c r="C80" s="168">
        <f>SUM(C77:C79)</f>
        <v>45317</v>
      </c>
      <c r="D80" s="168">
        <f>SUM(D77:D79)</f>
        <v>0</v>
      </c>
      <c r="E80" s="429">
        <f t="shared" si="9"/>
        <v>45317</v>
      </c>
    </row>
    <row r="81" spans="1:8" ht="126" x14ac:dyDescent="0.25">
      <c r="A81" s="43">
        <v>117325</v>
      </c>
      <c r="B81" s="3" t="s">
        <v>547</v>
      </c>
      <c r="C81" s="167">
        <v>0</v>
      </c>
      <c r="D81" s="168">
        <v>0</v>
      </c>
      <c r="E81" s="167">
        <f>C81-D81</f>
        <v>0</v>
      </c>
    </row>
    <row r="82" spans="1:8" ht="236.25" x14ac:dyDescent="0.25">
      <c r="A82" s="43">
        <v>117330</v>
      </c>
      <c r="B82" s="3" t="s">
        <v>548</v>
      </c>
      <c r="C82" s="167">
        <v>2441230.79</v>
      </c>
      <c r="D82" s="167">
        <v>2441230.36</v>
      </c>
      <c r="E82" s="167">
        <f t="shared" ref="E82:E92" si="10">C82-D82</f>
        <v>0.43000000016763806</v>
      </c>
    </row>
    <row r="83" spans="1:8" ht="82.5" customHeight="1" x14ac:dyDescent="0.25">
      <c r="A83" s="43"/>
      <c r="B83" s="3" t="s">
        <v>549</v>
      </c>
      <c r="C83" s="167">
        <v>1650000</v>
      </c>
      <c r="D83" s="167">
        <v>1499995.58</v>
      </c>
      <c r="E83" s="167">
        <f t="shared" si="10"/>
        <v>150004.41999999993</v>
      </c>
    </row>
    <row r="84" spans="1:8" ht="94.5" x14ac:dyDescent="0.25">
      <c r="A84" s="43"/>
      <c r="B84" s="3" t="s">
        <v>550</v>
      </c>
      <c r="C84" s="167">
        <v>99900</v>
      </c>
      <c r="D84" s="167">
        <v>99835.75</v>
      </c>
      <c r="E84" s="167">
        <f t="shared" si="10"/>
        <v>64.25</v>
      </c>
    </row>
    <row r="85" spans="1:8" ht="98.25" customHeight="1" x14ac:dyDescent="0.25">
      <c r="A85" s="43"/>
      <c r="B85" s="3" t="s">
        <v>551</v>
      </c>
      <c r="C85" s="167">
        <v>0.28999999999999998</v>
      </c>
      <c r="D85" s="167">
        <v>0</v>
      </c>
      <c r="E85" s="167">
        <f t="shared" si="10"/>
        <v>0.28999999999999998</v>
      </c>
    </row>
    <row r="86" spans="1:8" ht="97.5" customHeight="1" x14ac:dyDescent="0.25">
      <c r="A86" s="43"/>
      <c r="B86" s="3" t="s">
        <v>552</v>
      </c>
      <c r="C86" s="167">
        <v>1980440.88</v>
      </c>
      <c r="D86" s="167">
        <v>1583850.62</v>
      </c>
      <c r="E86" s="167">
        <f t="shared" si="10"/>
        <v>396590.25999999978</v>
      </c>
    </row>
    <row r="87" spans="1:8" ht="173.25" x14ac:dyDescent="0.25">
      <c r="A87" s="43"/>
      <c r="B87" s="3" t="s">
        <v>553</v>
      </c>
      <c r="C87" s="167">
        <v>21219.040000000001</v>
      </c>
      <c r="D87" s="167">
        <v>21219.040000000001</v>
      </c>
      <c r="E87" s="167">
        <f t="shared" si="10"/>
        <v>0</v>
      </c>
    </row>
    <row r="88" spans="1:8" ht="51.75" customHeight="1" x14ac:dyDescent="0.25">
      <c r="A88" s="43"/>
      <c r="B88" s="3" t="s">
        <v>554</v>
      </c>
      <c r="C88" s="167">
        <v>10000</v>
      </c>
      <c r="D88" s="167">
        <v>0</v>
      </c>
      <c r="E88" s="167">
        <f t="shared" si="10"/>
        <v>10000</v>
      </c>
    </row>
    <row r="89" spans="1:8" ht="175.5" customHeight="1" x14ac:dyDescent="0.25">
      <c r="A89" s="43"/>
      <c r="B89" s="3" t="s">
        <v>555</v>
      </c>
      <c r="C89" s="167">
        <v>6408</v>
      </c>
      <c r="D89" s="167">
        <v>6408</v>
      </c>
      <c r="E89" s="167">
        <f t="shared" si="10"/>
        <v>0</v>
      </c>
    </row>
    <row r="90" spans="1:8" ht="191.25" customHeight="1" x14ac:dyDescent="0.25">
      <c r="A90" s="43"/>
      <c r="B90" s="3" t="s">
        <v>556</v>
      </c>
      <c r="C90" s="167">
        <v>6408</v>
      </c>
      <c r="D90" s="167">
        <v>6408</v>
      </c>
      <c r="E90" s="167">
        <f t="shared" si="10"/>
        <v>0</v>
      </c>
    </row>
    <row r="91" spans="1:8" x14ac:dyDescent="0.25">
      <c r="A91" s="43"/>
      <c r="B91" s="3"/>
      <c r="C91" s="167"/>
      <c r="D91" s="167"/>
      <c r="E91" s="167">
        <f t="shared" si="10"/>
        <v>0</v>
      </c>
    </row>
    <row r="92" spans="1:8" x14ac:dyDescent="0.25">
      <c r="A92" s="44"/>
      <c r="B92" s="5" t="s">
        <v>36</v>
      </c>
      <c r="C92" s="168">
        <f>SUM(C81:C91)</f>
        <v>6215607</v>
      </c>
      <c r="D92" s="168">
        <f>SUM(D81:D91)</f>
        <v>5658947.3500000006</v>
      </c>
      <c r="E92" s="168">
        <f t="shared" si="10"/>
        <v>556659.64999999944</v>
      </c>
    </row>
    <row r="93" spans="1:8" ht="78.75" hidden="1" x14ac:dyDescent="0.25">
      <c r="A93" s="44">
        <v>117363</v>
      </c>
      <c r="B93" s="3" t="s">
        <v>236</v>
      </c>
      <c r="C93" s="167"/>
      <c r="D93" s="167"/>
      <c r="E93" s="167"/>
    </row>
    <row r="94" spans="1:8" hidden="1" x14ac:dyDescent="0.25">
      <c r="A94" s="44"/>
      <c r="B94" s="5" t="s">
        <v>36</v>
      </c>
      <c r="C94" s="168">
        <f>+C93</f>
        <v>0</v>
      </c>
      <c r="D94" s="168">
        <f t="shared" ref="D94:E94" si="11">+D93</f>
        <v>0</v>
      </c>
      <c r="E94" s="168">
        <f t="shared" si="11"/>
        <v>0</v>
      </c>
    </row>
    <row r="95" spans="1:8" ht="163.5" customHeight="1" x14ac:dyDescent="0.25">
      <c r="A95" s="44">
        <v>117383</v>
      </c>
      <c r="B95" s="3" t="s">
        <v>237</v>
      </c>
      <c r="C95" s="167">
        <v>19198154</v>
      </c>
      <c r="D95" s="615">
        <v>0</v>
      </c>
      <c r="E95" s="427">
        <f>+C95-D95</f>
        <v>19198154</v>
      </c>
      <c r="H95" s="459"/>
    </row>
    <row r="96" spans="1:8" ht="190.5" hidden="1" customHeight="1" x14ac:dyDescent="0.25">
      <c r="A96" s="44"/>
      <c r="B96" s="3"/>
      <c r="C96" s="167"/>
      <c r="D96" s="168"/>
      <c r="E96" s="427">
        <f>+C96-D96</f>
        <v>0</v>
      </c>
    </row>
    <row r="97" spans="1:7" x14ac:dyDescent="0.25">
      <c r="A97" s="418"/>
      <c r="B97" s="5" t="s">
        <v>36</v>
      </c>
      <c r="C97" s="168">
        <f>SUM(C95:C96)</f>
        <v>19198154</v>
      </c>
      <c r="D97" s="168">
        <f>SUM(D95:D96)</f>
        <v>0</v>
      </c>
      <c r="E97" s="426">
        <f>SUM(E95:E96)</f>
        <v>19198154</v>
      </c>
    </row>
    <row r="98" spans="1:7" ht="78" customHeight="1" x14ac:dyDescent="0.25">
      <c r="A98" s="43">
        <v>117461</v>
      </c>
      <c r="B98" s="21" t="s">
        <v>238</v>
      </c>
      <c r="C98" s="165">
        <v>125664</v>
      </c>
      <c r="D98" s="166">
        <v>0</v>
      </c>
      <c r="E98" s="124">
        <f t="shared" si="2"/>
        <v>125664</v>
      </c>
    </row>
    <row r="99" spans="1:7" ht="82.5" customHeight="1" x14ac:dyDescent="0.25">
      <c r="A99" s="44"/>
      <c r="B99" s="21" t="s">
        <v>239</v>
      </c>
      <c r="C99" s="167">
        <v>180000</v>
      </c>
      <c r="D99" s="166">
        <v>0</v>
      </c>
      <c r="E99" s="124">
        <f t="shared" si="2"/>
        <v>180000</v>
      </c>
    </row>
    <row r="100" spans="1:7" ht="60" customHeight="1" x14ac:dyDescent="0.25">
      <c r="A100" s="44"/>
      <c r="B100" s="21" t="s">
        <v>557</v>
      </c>
      <c r="C100" s="167">
        <v>0</v>
      </c>
      <c r="D100" s="166">
        <v>0</v>
      </c>
      <c r="E100" s="124">
        <f t="shared" si="2"/>
        <v>0</v>
      </c>
    </row>
    <row r="101" spans="1:7" ht="46.5" customHeight="1" x14ac:dyDescent="0.25">
      <c r="A101" s="44"/>
      <c r="B101" s="21" t="s">
        <v>558</v>
      </c>
      <c r="C101" s="167">
        <v>30000</v>
      </c>
      <c r="D101" s="166">
        <v>29643.41</v>
      </c>
      <c r="E101" s="124">
        <f t="shared" si="2"/>
        <v>356.59000000000015</v>
      </c>
    </row>
    <row r="102" spans="1:7" ht="47.25" customHeight="1" x14ac:dyDescent="0.25">
      <c r="A102" s="44"/>
      <c r="B102" s="21" t="s">
        <v>559</v>
      </c>
      <c r="C102" s="167">
        <v>3983000</v>
      </c>
      <c r="D102" s="166">
        <v>3983000</v>
      </c>
      <c r="E102" s="124">
        <f t="shared" si="2"/>
        <v>0</v>
      </c>
    </row>
    <row r="103" spans="1:7" ht="15.75" customHeight="1" x14ac:dyDescent="0.25">
      <c r="A103" s="44"/>
      <c r="B103" s="21"/>
      <c r="C103" s="167"/>
      <c r="D103" s="166"/>
      <c r="E103" s="124">
        <f t="shared" si="2"/>
        <v>0</v>
      </c>
    </row>
    <row r="104" spans="1:7" ht="15" customHeight="1" x14ac:dyDescent="0.25">
      <c r="A104" s="44"/>
      <c r="B104" s="5" t="s">
        <v>36</v>
      </c>
      <c r="C104" s="168">
        <f>SUM(C98:C103)</f>
        <v>4318664</v>
      </c>
      <c r="D104" s="168">
        <f>SUM(D98:D103)</f>
        <v>4012643.41</v>
      </c>
      <c r="E104" s="168">
        <f>SUM(E98:E103)</f>
        <v>306020.59000000003</v>
      </c>
    </row>
    <row r="105" spans="1:7" x14ac:dyDescent="0.25">
      <c r="A105" s="44"/>
      <c r="B105" s="5" t="s">
        <v>121</v>
      </c>
      <c r="C105" s="169">
        <f>+C25+C39+C44+C47+C53+C68+C76+C80+C92+C94+C97+C104+C59</f>
        <v>62569089</v>
      </c>
      <c r="D105" s="169">
        <f>+D25+D39+D44+D47+D53+D68+D76+D80+D92+D94+D97+D104+D59</f>
        <v>31331241.629999999</v>
      </c>
      <c r="E105" s="169">
        <f>+C105-D105</f>
        <v>31237847.370000001</v>
      </c>
    </row>
    <row r="106" spans="1:7" x14ac:dyDescent="0.25">
      <c r="A106" s="73"/>
      <c r="B106" s="70" t="s">
        <v>35</v>
      </c>
      <c r="C106" s="170"/>
      <c r="D106" s="171">
        <f>D105/C105*100</f>
        <v>50.074632906993422</v>
      </c>
      <c r="E106" s="172" t="s">
        <v>34</v>
      </c>
      <c r="G106" t="s">
        <v>105</v>
      </c>
    </row>
    <row r="108" spans="1:7" ht="82.5" customHeight="1" x14ac:dyDescent="0.25">
      <c r="A108" s="740" t="s">
        <v>135</v>
      </c>
      <c r="B108" s="740"/>
      <c r="C108" s="740"/>
      <c r="D108" s="740"/>
      <c r="E108" s="740"/>
      <c r="F108" s="195"/>
      <c r="G108" s="195"/>
    </row>
    <row r="110" spans="1:7" x14ac:dyDescent="0.25">
      <c r="A110" s="772" t="s">
        <v>173</v>
      </c>
      <c r="B110" s="772"/>
      <c r="C110" s="306"/>
      <c r="D110" s="206" t="s">
        <v>174</v>
      </c>
      <c r="E110" s="4" t="s">
        <v>175</v>
      </c>
    </row>
  </sheetData>
  <mergeCells count="7">
    <mergeCell ref="D1:E1"/>
    <mergeCell ref="A110:B110"/>
    <mergeCell ref="A7:E7"/>
    <mergeCell ref="A108:E108"/>
    <mergeCell ref="A4:E4"/>
    <mergeCell ref="A5:E5"/>
    <mergeCell ref="A6:E6"/>
  </mergeCells>
  <pageMargins left="0.39370078740157483" right="0.39370078740157483" top="0.74803149606299213" bottom="0.74803149606299213" header="0.31496062992125984" footer="0.31496062992125984"/>
  <pageSetup paperSize="9" scale="90" fitToHeight="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43"/>
  <sheetViews>
    <sheetView workbookViewId="0">
      <selection activeCell="I6" sqref="I6"/>
    </sheetView>
  </sheetViews>
  <sheetFormatPr defaultRowHeight="15.75" x14ac:dyDescent="0.25"/>
  <cols>
    <col min="1" max="1" width="10.28515625" style="42" bestFit="1" customWidth="1"/>
    <col min="2" max="2" width="39.42578125" style="1" customWidth="1"/>
    <col min="3" max="3" width="15.5703125" style="15" customWidth="1"/>
    <col min="4" max="6" width="15.42578125" style="15" customWidth="1"/>
    <col min="10" max="10" width="14.5703125" customWidth="1"/>
  </cols>
  <sheetData>
    <row r="1" spans="1:8" x14ac:dyDescent="0.25">
      <c r="D1" s="631" t="s">
        <v>621</v>
      </c>
      <c r="E1" s="631"/>
      <c r="F1" s="631"/>
    </row>
    <row r="2" spans="1:8" x14ac:dyDescent="0.25">
      <c r="D2" t="s">
        <v>171</v>
      </c>
      <c r="E2"/>
      <c r="F2" s="1"/>
    </row>
    <row r="3" spans="1:8" ht="17.25" x14ac:dyDescent="0.25">
      <c r="B3" s="38"/>
      <c r="D3" t="s">
        <v>586</v>
      </c>
      <c r="E3"/>
      <c r="F3" s="1"/>
    </row>
    <row r="4" spans="1:8" x14ac:dyDescent="0.25">
      <c r="A4" s="650" t="s">
        <v>122</v>
      </c>
      <c r="B4" s="650"/>
      <c r="C4" s="650"/>
      <c r="D4" s="650"/>
      <c r="E4" s="650"/>
      <c r="F4" s="650"/>
    </row>
    <row r="5" spans="1:8" ht="47.25" customHeight="1" x14ac:dyDescent="0.25">
      <c r="A5" s="626" t="s">
        <v>364</v>
      </c>
      <c r="B5" s="626"/>
      <c r="C5" s="626"/>
      <c r="D5" s="626"/>
      <c r="E5" s="626"/>
      <c r="F5" s="626"/>
    </row>
    <row r="6" spans="1:8" ht="123" customHeight="1" x14ac:dyDescent="0.25">
      <c r="A6" s="784" t="s">
        <v>143</v>
      </c>
      <c r="B6" s="784"/>
      <c r="C6" s="784"/>
      <c r="D6" s="784"/>
      <c r="E6" s="784"/>
      <c r="F6" s="784"/>
    </row>
    <row r="7" spans="1:8" x14ac:dyDescent="0.25">
      <c r="A7" s="47" t="s">
        <v>283</v>
      </c>
      <c r="B7" s="47"/>
      <c r="C7" s="47"/>
      <c r="D7" s="448">
        <f>+E40</f>
        <v>6163464</v>
      </c>
      <c r="E7" s="445" t="s">
        <v>32</v>
      </c>
      <c r="G7" s="47"/>
      <c r="H7" s="47"/>
    </row>
    <row r="8" spans="1:8" x14ac:dyDescent="0.25">
      <c r="A8"/>
      <c r="B8" s="465" t="s">
        <v>28</v>
      </c>
      <c r="C8" s="200"/>
      <c r="D8" s="582">
        <v>5440394</v>
      </c>
      <c r="E8" s="445" t="s">
        <v>32</v>
      </c>
      <c r="F8" s="200"/>
      <c r="G8" s="93"/>
      <c r="H8" s="294"/>
    </row>
    <row r="9" spans="1:8" ht="16.5" thickBot="1" x14ac:dyDescent="0.3">
      <c r="A9"/>
      <c r="B9" s="464" t="s">
        <v>29</v>
      </c>
      <c r="C9" s="207"/>
      <c r="D9" s="583">
        <v>723070</v>
      </c>
      <c r="E9" s="445" t="s">
        <v>32</v>
      </c>
      <c r="F9" s="199"/>
      <c r="G9" s="92"/>
      <c r="H9" s="293"/>
    </row>
    <row r="10" spans="1:8" ht="48" thickBot="1" x14ac:dyDescent="0.3">
      <c r="A10" s="554" t="s">
        <v>383</v>
      </c>
      <c r="B10" s="555" t="s">
        <v>384</v>
      </c>
      <c r="C10" s="556" t="s">
        <v>385</v>
      </c>
      <c r="D10" s="560" t="s">
        <v>386</v>
      </c>
      <c r="E10" s="562" t="s">
        <v>387</v>
      </c>
      <c r="F10" s="10" t="s">
        <v>5</v>
      </c>
    </row>
    <row r="11" spans="1:8" ht="57" customHeight="1" thickBot="1" x14ac:dyDescent="0.3">
      <c r="A11" s="557">
        <v>1</v>
      </c>
      <c r="B11" s="558">
        <v>2</v>
      </c>
      <c r="C11" s="558">
        <v>3</v>
      </c>
      <c r="D11" s="561">
        <v>4</v>
      </c>
      <c r="E11" s="563">
        <v>5</v>
      </c>
      <c r="F11" s="565">
        <v>6</v>
      </c>
    </row>
    <row r="12" spans="1:8" ht="25.5" customHeight="1" x14ac:dyDescent="0.25">
      <c r="A12" s="785" t="s">
        <v>365</v>
      </c>
      <c r="B12" s="786"/>
      <c r="C12" s="786"/>
      <c r="D12" s="786"/>
      <c r="E12" s="786"/>
      <c r="F12" s="787"/>
    </row>
    <row r="13" spans="1:8" ht="57" customHeight="1" x14ac:dyDescent="0.25">
      <c r="A13" s="578">
        <v>3719800</v>
      </c>
      <c r="B13" s="774" t="s">
        <v>366</v>
      </c>
      <c r="C13" s="776" t="s">
        <v>367</v>
      </c>
      <c r="D13" s="778">
        <v>0</v>
      </c>
      <c r="E13" s="780"/>
      <c r="F13" s="782">
        <f>+D13-E14</f>
        <v>0</v>
      </c>
    </row>
    <row r="14" spans="1:8" ht="16.5" x14ac:dyDescent="0.25">
      <c r="A14" s="566">
        <v>1</v>
      </c>
      <c r="B14" s="775"/>
      <c r="C14" s="777"/>
      <c r="D14" s="779"/>
      <c r="E14" s="781"/>
      <c r="F14" s="783"/>
    </row>
    <row r="15" spans="1:8" ht="50.25" thickBot="1" x14ac:dyDescent="0.3">
      <c r="A15" s="559">
        <v>2</v>
      </c>
      <c r="B15" s="552" t="s">
        <v>368</v>
      </c>
      <c r="C15" s="553" t="s">
        <v>367</v>
      </c>
      <c r="D15" s="569">
        <v>0</v>
      </c>
      <c r="E15" s="571"/>
      <c r="F15" s="37">
        <f t="shared" ref="F15:F40" si="0">+D15-E15</f>
        <v>0</v>
      </c>
    </row>
    <row r="16" spans="1:8" ht="99.75" thickBot="1" x14ac:dyDescent="0.3">
      <c r="A16" s="559">
        <v>3</v>
      </c>
      <c r="B16" s="552" t="s">
        <v>369</v>
      </c>
      <c r="C16" s="553" t="s">
        <v>367</v>
      </c>
      <c r="D16" s="570">
        <v>2000000</v>
      </c>
      <c r="E16" s="572">
        <v>2000000</v>
      </c>
      <c r="F16" s="37">
        <f t="shared" si="0"/>
        <v>0</v>
      </c>
    </row>
    <row r="17" spans="1:6" ht="66.75" thickBot="1" x14ac:dyDescent="0.3">
      <c r="A17" s="559">
        <v>4</v>
      </c>
      <c r="B17" s="552" t="s">
        <v>370</v>
      </c>
      <c r="C17" s="553" t="s">
        <v>367</v>
      </c>
      <c r="D17" s="569">
        <v>1000000</v>
      </c>
      <c r="E17" s="568">
        <v>1000000</v>
      </c>
      <c r="F17" s="37">
        <f t="shared" si="0"/>
        <v>0</v>
      </c>
    </row>
    <row r="18" spans="1:6" ht="132.75" thickBot="1" x14ac:dyDescent="0.3">
      <c r="A18" s="559">
        <v>5</v>
      </c>
      <c r="B18" s="552" t="s">
        <v>371</v>
      </c>
      <c r="C18" s="553" t="s">
        <v>367</v>
      </c>
      <c r="D18" s="569">
        <v>62400</v>
      </c>
      <c r="E18" s="568">
        <v>62400</v>
      </c>
      <c r="F18" s="37">
        <f t="shared" si="0"/>
        <v>0</v>
      </c>
    </row>
    <row r="19" spans="1:6" ht="66.75" thickBot="1" x14ac:dyDescent="0.3">
      <c r="A19" s="559">
        <v>6</v>
      </c>
      <c r="B19" s="552" t="s">
        <v>372</v>
      </c>
      <c r="C19" s="553" t="s">
        <v>367</v>
      </c>
      <c r="D19" s="569">
        <v>299940</v>
      </c>
      <c r="E19" s="568">
        <v>299940</v>
      </c>
      <c r="F19" s="37">
        <f t="shared" si="0"/>
        <v>0</v>
      </c>
    </row>
    <row r="20" spans="1:6" ht="66.75" thickBot="1" x14ac:dyDescent="0.3">
      <c r="A20" s="559">
        <v>7</v>
      </c>
      <c r="B20" s="552" t="s">
        <v>373</v>
      </c>
      <c r="C20" s="553" t="s">
        <v>367</v>
      </c>
      <c r="D20" s="569">
        <v>15000</v>
      </c>
      <c r="E20" s="568">
        <v>15000</v>
      </c>
      <c r="F20" s="37">
        <f t="shared" si="0"/>
        <v>0</v>
      </c>
    </row>
    <row r="21" spans="1:6" ht="50.25" thickBot="1" x14ac:dyDescent="0.3">
      <c r="A21" s="559">
        <v>8</v>
      </c>
      <c r="B21" s="552" t="s">
        <v>374</v>
      </c>
      <c r="C21" s="553" t="s">
        <v>367</v>
      </c>
      <c r="D21" s="569">
        <v>7000</v>
      </c>
      <c r="E21" s="568">
        <v>7000</v>
      </c>
      <c r="F21" s="37">
        <f t="shared" si="0"/>
        <v>0</v>
      </c>
    </row>
    <row r="22" spans="1:6" ht="66.75" thickBot="1" x14ac:dyDescent="0.3">
      <c r="A22" s="559">
        <v>9</v>
      </c>
      <c r="B22" s="552" t="s">
        <v>375</v>
      </c>
      <c r="C22" s="553" t="s">
        <v>367</v>
      </c>
      <c r="D22" s="569">
        <v>22000</v>
      </c>
      <c r="E22" s="568">
        <v>22000</v>
      </c>
      <c r="F22" s="37">
        <f t="shared" si="0"/>
        <v>0</v>
      </c>
    </row>
    <row r="23" spans="1:6" ht="50.25" thickBot="1" x14ac:dyDescent="0.3">
      <c r="A23" s="559">
        <v>10</v>
      </c>
      <c r="B23" s="552" t="s">
        <v>376</v>
      </c>
      <c r="C23" s="553" t="s">
        <v>367</v>
      </c>
      <c r="D23" s="569">
        <v>44000</v>
      </c>
      <c r="E23" s="568">
        <v>44000</v>
      </c>
      <c r="F23" s="37">
        <f t="shared" si="0"/>
        <v>0</v>
      </c>
    </row>
    <row r="24" spans="1:6" ht="66.75" thickBot="1" x14ac:dyDescent="0.3">
      <c r="A24" s="559">
        <v>11</v>
      </c>
      <c r="B24" s="552" t="s">
        <v>377</v>
      </c>
      <c r="C24" s="553" t="s">
        <v>367</v>
      </c>
      <c r="D24" s="569">
        <v>101180</v>
      </c>
      <c r="E24" s="568">
        <v>101180</v>
      </c>
      <c r="F24" s="37">
        <f t="shared" si="0"/>
        <v>0</v>
      </c>
    </row>
    <row r="25" spans="1:6" ht="50.25" thickBot="1" x14ac:dyDescent="0.3">
      <c r="A25" s="559">
        <v>12</v>
      </c>
      <c r="B25" s="552" t="s">
        <v>378</v>
      </c>
      <c r="C25" s="553" t="s">
        <v>367</v>
      </c>
      <c r="D25" s="569">
        <v>62000</v>
      </c>
      <c r="E25" s="568">
        <v>62000</v>
      </c>
      <c r="F25" s="37">
        <f t="shared" si="0"/>
        <v>0</v>
      </c>
    </row>
    <row r="26" spans="1:6" ht="66.75" thickBot="1" x14ac:dyDescent="0.3">
      <c r="A26" s="559">
        <v>13</v>
      </c>
      <c r="B26" s="552" t="s">
        <v>379</v>
      </c>
      <c r="C26" s="553" t="s">
        <v>367</v>
      </c>
      <c r="D26" s="569">
        <v>68040</v>
      </c>
      <c r="E26" s="568">
        <v>68040</v>
      </c>
      <c r="F26" s="37">
        <f t="shared" si="0"/>
        <v>0</v>
      </c>
    </row>
    <row r="27" spans="1:6" ht="66.75" thickBot="1" x14ac:dyDescent="0.3">
      <c r="A27" s="574">
        <v>14</v>
      </c>
      <c r="B27" s="552" t="s">
        <v>380</v>
      </c>
      <c r="C27" s="553" t="s">
        <v>367</v>
      </c>
      <c r="D27" s="569">
        <v>90420</v>
      </c>
      <c r="E27" s="568">
        <v>90420</v>
      </c>
      <c r="F27" s="37">
        <f t="shared" si="0"/>
        <v>0</v>
      </c>
    </row>
    <row r="28" spans="1:6" ht="50.25" thickBot="1" x14ac:dyDescent="0.3">
      <c r="A28" s="566">
        <v>15</v>
      </c>
      <c r="B28" s="552" t="s">
        <v>381</v>
      </c>
      <c r="C28" s="553" t="s">
        <v>367</v>
      </c>
      <c r="D28" s="569">
        <v>96090</v>
      </c>
      <c r="E28" s="568">
        <v>96090</v>
      </c>
      <c r="F28" s="37">
        <f t="shared" si="0"/>
        <v>0</v>
      </c>
    </row>
    <row r="29" spans="1:6" ht="82.5" x14ac:dyDescent="0.25">
      <c r="A29" s="566">
        <v>16</v>
      </c>
      <c r="B29" s="575" t="s">
        <v>382</v>
      </c>
      <c r="C29" s="576" t="s">
        <v>367</v>
      </c>
      <c r="D29" s="573">
        <v>1131930</v>
      </c>
      <c r="E29" s="577">
        <v>1131930</v>
      </c>
      <c r="F29" s="37">
        <f t="shared" si="0"/>
        <v>0</v>
      </c>
    </row>
    <row r="30" spans="1:6" ht="145.5" customHeight="1" x14ac:dyDescent="0.25">
      <c r="A30" s="566">
        <v>17</v>
      </c>
      <c r="B30" s="580" t="s">
        <v>390</v>
      </c>
      <c r="C30" s="564" t="s">
        <v>367</v>
      </c>
      <c r="D30" s="579">
        <v>350000</v>
      </c>
      <c r="E30" s="568">
        <v>350000</v>
      </c>
      <c r="F30" s="37">
        <f t="shared" si="0"/>
        <v>0</v>
      </c>
    </row>
    <row r="31" spans="1:6" ht="66" x14ac:dyDescent="0.25">
      <c r="A31" s="566">
        <v>18</v>
      </c>
      <c r="B31" s="567" t="s">
        <v>391</v>
      </c>
      <c r="C31" s="564" t="s">
        <v>367</v>
      </c>
      <c r="D31" s="579">
        <v>26550</v>
      </c>
      <c r="E31" s="568"/>
      <c r="F31" s="584">
        <f t="shared" si="0"/>
        <v>26550</v>
      </c>
    </row>
    <row r="32" spans="1:6" ht="49.5" x14ac:dyDescent="0.25">
      <c r="A32" s="566">
        <v>19</v>
      </c>
      <c r="B32" s="567" t="s">
        <v>392</v>
      </c>
      <c r="C32" s="564" t="s">
        <v>367</v>
      </c>
      <c r="D32" s="579">
        <v>171600</v>
      </c>
      <c r="E32" s="568">
        <v>171600</v>
      </c>
      <c r="F32" s="37">
        <f t="shared" si="0"/>
        <v>0</v>
      </c>
    </row>
    <row r="33" spans="1:6" ht="66" x14ac:dyDescent="0.25">
      <c r="A33" s="566">
        <v>20</v>
      </c>
      <c r="B33" s="567" t="s">
        <v>393</v>
      </c>
      <c r="C33" s="564" t="s">
        <v>367</v>
      </c>
      <c r="D33" s="579">
        <v>500000</v>
      </c>
      <c r="E33" s="568">
        <v>500000</v>
      </c>
      <c r="F33" s="37">
        <f t="shared" si="0"/>
        <v>0</v>
      </c>
    </row>
    <row r="34" spans="1:6" ht="16.5" x14ac:dyDescent="0.25">
      <c r="A34" s="566"/>
      <c r="B34" s="185" t="s">
        <v>36</v>
      </c>
      <c r="C34" s="564"/>
      <c r="D34" s="568">
        <f>SUM(D15:D33)</f>
        <v>6048150</v>
      </c>
      <c r="E34" s="568">
        <f>SUM(E15:E33)</f>
        <v>6021600</v>
      </c>
      <c r="F34" s="37">
        <f t="shared" si="0"/>
        <v>26550</v>
      </c>
    </row>
    <row r="35" spans="1:6" ht="16.5" x14ac:dyDescent="0.25">
      <c r="A35" s="566">
        <v>118240</v>
      </c>
      <c r="B35" s="788" t="s">
        <v>388</v>
      </c>
      <c r="C35" s="776" t="s">
        <v>367</v>
      </c>
      <c r="D35" s="778">
        <v>37000</v>
      </c>
      <c r="E35" s="778">
        <v>37000</v>
      </c>
      <c r="F35" s="782">
        <f>+D35-E35</f>
        <v>0</v>
      </c>
    </row>
    <row r="36" spans="1:6" ht="15.75" customHeight="1" x14ac:dyDescent="0.25">
      <c r="A36" s="42">
        <v>21</v>
      </c>
      <c r="B36" s="789"/>
      <c r="C36" s="777"/>
      <c r="D36" s="779"/>
      <c r="E36" s="779"/>
      <c r="F36" s="783"/>
    </row>
    <row r="37" spans="1:6" ht="52.5" customHeight="1" x14ac:dyDescent="0.25">
      <c r="A37" s="566">
        <v>22</v>
      </c>
      <c r="B37" s="581" t="s">
        <v>389</v>
      </c>
      <c r="C37" s="564" t="s">
        <v>367</v>
      </c>
      <c r="D37" s="568">
        <v>105000</v>
      </c>
      <c r="E37" s="568">
        <v>104864</v>
      </c>
      <c r="F37" s="584">
        <f t="shared" si="0"/>
        <v>136</v>
      </c>
    </row>
    <row r="38" spans="1:6" ht="16.5" x14ac:dyDescent="0.25">
      <c r="A38" s="566"/>
      <c r="B38" s="185" t="s">
        <v>36</v>
      </c>
      <c r="C38" s="564" t="s">
        <v>367</v>
      </c>
      <c r="D38" s="568">
        <f>+D35+D37</f>
        <v>142000</v>
      </c>
      <c r="E38" s="568">
        <f>+E35+E37</f>
        <v>141864</v>
      </c>
      <c r="F38" s="37">
        <f t="shared" si="0"/>
        <v>136</v>
      </c>
    </row>
    <row r="39" spans="1:6" ht="16.5" hidden="1" x14ac:dyDescent="0.25">
      <c r="A39" s="566"/>
      <c r="C39" s="564"/>
      <c r="D39" s="568"/>
      <c r="E39" s="568"/>
      <c r="F39" s="37">
        <f t="shared" si="0"/>
        <v>0</v>
      </c>
    </row>
    <row r="40" spans="1:6" x14ac:dyDescent="0.25">
      <c r="A40" s="44"/>
      <c r="B40" s="236" t="s">
        <v>37</v>
      </c>
      <c r="C40" s="14"/>
      <c r="D40" s="360">
        <f>+D38+D34</f>
        <v>6190150</v>
      </c>
      <c r="E40" s="360">
        <f>+E38+E34</f>
        <v>6163464</v>
      </c>
      <c r="F40" s="215">
        <f t="shared" si="0"/>
        <v>26686</v>
      </c>
    </row>
    <row r="41" spans="1:6" ht="21.75" customHeight="1" x14ac:dyDescent="0.25">
      <c r="A41" s="716" t="s">
        <v>394</v>
      </c>
      <c r="B41" s="716"/>
      <c r="C41" s="716"/>
      <c r="D41" s="716"/>
      <c r="E41" s="716"/>
      <c r="F41" s="716"/>
    </row>
    <row r="43" spans="1:6" x14ac:dyDescent="0.25">
      <c r="A43" s="772" t="s">
        <v>173</v>
      </c>
      <c r="B43" s="772"/>
      <c r="C43" s="296"/>
      <c r="D43" s="131" t="s">
        <v>174</v>
      </c>
      <c r="E43" s="131"/>
      <c r="F43" s="15" t="s">
        <v>175</v>
      </c>
    </row>
  </sheetData>
  <mergeCells count="17">
    <mergeCell ref="A43:B43"/>
    <mergeCell ref="A41:F41"/>
    <mergeCell ref="B35:B36"/>
    <mergeCell ref="C35:C36"/>
    <mergeCell ref="D35:D36"/>
    <mergeCell ref="E35:E36"/>
    <mergeCell ref="F35:F36"/>
    <mergeCell ref="D1:F1"/>
    <mergeCell ref="A5:F5"/>
    <mergeCell ref="A4:F4"/>
    <mergeCell ref="A6:F6"/>
    <mergeCell ref="A12:F12"/>
    <mergeCell ref="B13:B14"/>
    <mergeCell ref="C13:C14"/>
    <mergeCell ref="D13:D14"/>
    <mergeCell ref="E13:E14"/>
    <mergeCell ref="F13:F14"/>
  </mergeCells>
  <pageMargins left="0.39370078740157483" right="0.39370078740157483" top="0.74803149606299213" bottom="0.74803149606299213" header="0.31496062992125984" footer="0.31496062992125984"/>
  <pageSetup paperSize="9" scale="85" fitToHeight="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8"/>
  <sheetViews>
    <sheetView view="pageBreakPreview" zoomScale="60" zoomScaleNormal="100" workbookViewId="0">
      <selection activeCell="J6" sqref="J6"/>
    </sheetView>
  </sheetViews>
  <sheetFormatPr defaultRowHeight="15.75" x14ac:dyDescent="0.25"/>
  <cols>
    <col min="1" max="1" width="9.140625" style="42"/>
    <col min="2" max="2" width="39.42578125" style="1" customWidth="1"/>
    <col min="3" max="3" width="15.5703125" style="15" customWidth="1"/>
    <col min="4" max="5" width="15.42578125" style="15" customWidth="1"/>
  </cols>
  <sheetData>
    <row r="1" spans="1:7" x14ac:dyDescent="0.25">
      <c r="D1" s="631" t="s">
        <v>622</v>
      </c>
      <c r="E1" s="631"/>
    </row>
    <row r="2" spans="1:7" x14ac:dyDescent="0.25">
      <c r="D2" t="s">
        <v>171</v>
      </c>
      <c r="E2" s="1"/>
    </row>
    <row r="3" spans="1:7" ht="17.25" x14ac:dyDescent="0.25">
      <c r="B3" s="38"/>
      <c r="D3" t="s">
        <v>597</v>
      </c>
      <c r="E3" s="1"/>
    </row>
    <row r="4" spans="1:7" x14ac:dyDescent="0.25">
      <c r="A4" s="650" t="s">
        <v>122</v>
      </c>
      <c r="B4" s="650"/>
      <c r="C4" s="650"/>
      <c r="D4" s="650"/>
      <c r="E4" s="650"/>
    </row>
    <row r="5" spans="1:7" ht="47.25" customHeight="1" x14ac:dyDescent="0.25">
      <c r="A5" s="626" t="s">
        <v>395</v>
      </c>
      <c r="B5" s="626"/>
      <c r="C5" s="626"/>
      <c r="D5" s="626"/>
      <c r="E5" s="626"/>
    </row>
    <row r="6" spans="1:7" ht="388.5" customHeight="1" x14ac:dyDescent="0.25">
      <c r="A6" s="790" t="s">
        <v>250</v>
      </c>
      <c r="B6" s="790"/>
      <c r="C6" s="790"/>
      <c r="D6" s="790"/>
      <c r="E6" s="790"/>
    </row>
    <row r="7" spans="1:7" x14ac:dyDescent="0.25">
      <c r="A7" s="47" t="s">
        <v>283</v>
      </c>
      <c r="B7" s="47"/>
      <c r="C7" s="47"/>
      <c r="D7" s="446">
        <f>+D13</f>
        <v>300000</v>
      </c>
      <c r="E7" s="445" t="s">
        <v>32</v>
      </c>
      <c r="F7" s="47"/>
      <c r="G7" s="47"/>
    </row>
    <row r="8" spans="1:7" x14ac:dyDescent="0.25">
      <c r="A8"/>
      <c r="B8" s="409"/>
      <c r="C8" s="200"/>
      <c r="D8" s="445"/>
      <c r="E8" s="200"/>
      <c r="F8" s="93"/>
      <c r="G8" s="406"/>
    </row>
    <row r="9" spans="1:7" x14ac:dyDescent="0.25">
      <c r="A9" s="43">
        <v>3719800</v>
      </c>
      <c r="B9" s="10" t="s">
        <v>92</v>
      </c>
      <c r="C9" s="10" t="s">
        <v>1</v>
      </c>
      <c r="D9" s="10" t="s">
        <v>11</v>
      </c>
      <c r="E9" s="10" t="s">
        <v>5</v>
      </c>
    </row>
    <row r="10" spans="1:7" ht="18.75" customHeight="1" x14ac:dyDescent="0.25">
      <c r="A10" s="44"/>
      <c r="B10" s="136" t="s">
        <v>251</v>
      </c>
      <c r="C10" s="35">
        <v>100000</v>
      </c>
      <c r="D10" s="36">
        <v>100000</v>
      </c>
      <c r="E10" s="37">
        <f>+C10-D10</f>
        <v>0</v>
      </c>
    </row>
    <row r="11" spans="1:7" ht="18.75" customHeight="1" x14ac:dyDescent="0.25">
      <c r="A11" s="44"/>
      <c r="B11" s="136" t="s">
        <v>396</v>
      </c>
      <c r="C11" s="35">
        <v>200000</v>
      </c>
      <c r="D11" s="36">
        <v>200000</v>
      </c>
      <c r="E11" s="37">
        <f t="shared" ref="E11:E12" si="0">+C11-D11</f>
        <v>0</v>
      </c>
    </row>
    <row r="12" spans="1:7" ht="39" customHeight="1" x14ac:dyDescent="0.25">
      <c r="A12" s="44"/>
      <c r="B12" s="136" t="s">
        <v>397</v>
      </c>
      <c r="C12" s="35">
        <v>250000</v>
      </c>
      <c r="D12" s="36">
        <v>0</v>
      </c>
      <c r="E12" s="37">
        <f t="shared" si="0"/>
        <v>250000</v>
      </c>
    </row>
    <row r="13" spans="1:7" x14ac:dyDescent="0.25">
      <c r="A13" s="44"/>
      <c r="B13" s="5" t="s">
        <v>37</v>
      </c>
      <c r="C13" s="7">
        <f>SUM(C10:C12)</f>
        <v>550000</v>
      </c>
      <c r="D13" s="7">
        <f>SUM(D10:D12)</f>
        <v>300000</v>
      </c>
      <c r="E13" s="7">
        <f>+C13-D13</f>
        <v>250000</v>
      </c>
    </row>
    <row r="14" spans="1:7" x14ac:dyDescent="0.25">
      <c r="A14" s="73"/>
      <c r="B14" s="404" t="s">
        <v>35</v>
      </c>
      <c r="C14" s="60"/>
      <c r="D14" s="66">
        <f>D13/C13*100</f>
        <v>54.54545454545454</v>
      </c>
      <c r="E14" s="67" t="s">
        <v>34</v>
      </c>
    </row>
    <row r="16" spans="1:7" ht="21.75" customHeight="1" x14ac:dyDescent="0.25">
      <c r="A16" s="635" t="s">
        <v>394</v>
      </c>
      <c r="B16" s="635"/>
      <c r="C16" s="635"/>
      <c r="D16" s="635"/>
      <c r="E16" s="635"/>
    </row>
    <row r="18" spans="1:5" x14ac:dyDescent="0.25">
      <c r="A18" s="772" t="s">
        <v>173</v>
      </c>
      <c r="B18" s="772"/>
      <c r="C18" s="296"/>
      <c r="D18" s="131" t="s">
        <v>174</v>
      </c>
      <c r="E18" s="15" t="s">
        <v>175</v>
      </c>
    </row>
  </sheetData>
  <mergeCells count="6">
    <mergeCell ref="A18:B18"/>
    <mergeCell ref="D1:E1"/>
    <mergeCell ref="A4:E4"/>
    <mergeCell ref="A5:E5"/>
    <mergeCell ref="A6:E6"/>
    <mergeCell ref="A16:E16"/>
  </mergeCells>
  <pageMargins left="0.7" right="0.7" top="0.75" bottom="0.75" header="0.3" footer="0.3"/>
  <pageSetup paperSize="9" scale="9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8"/>
  <sheetViews>
    <sheetView view="pageBreakPreview" zoomScale="60" zoomScaleNormal="100" workbookViewId="0">
      <selection activeCell="K23" sqref="K23"/>
    </sheetView>
  </sheetViews>
  <sheetFormatPr defaultRowHeight="15.75" x14ac:dyDescent="0.25"/>
  <cols>
    <col min="1" max="1" width="9.140625" style="42"/>
    <col min="2" max="2" width="39.42578125" style="1" customWidth="1"/>
    <col min="3" max="3" width="15.5703125" style="15" customWidth="1"/>
    <col min="4" max="5" width="15.42578125" style="15" customWidth="1"/>
  </cols>
  <sheetData>
    <row r="1" spans="1:7" x14ac:dyDescent="0.25">
      <c r="D1" s="631" t="s">
        <v>623</v>
      </c>
      <c r="E1" s="631"/>
    </row>
    <row r="2" spans="1:7" x14ac:dyDescent="0.25">
      <c r="D2" t="s">
        <v>171</v>
      </c>
      <c r="E2" s="1"/>
    </row>
    <row r="3" spans="1:7" ht="17.25" x14ac:dyDescent="0.25">
      <c r="B3" s="38"/>
      <c r="D3" t="s">
        <v>600</v>
      </c>
      <c r="E3" s="1"/>
    </row>
    <row r="4" spans="1:7" x14ac:dyDescent="0.25">
      <c r="A4" s="650" t="s">
        <v>122</v>
      </c>
      <c r="B4" s="650"/>
      <c r="C4" s="650"/>
      <c r="D4" s="650"/>
      <c r="E4" s="650"/>
    </row>
    <row r="5" spans="1:7" ht="47.25" customHeight="1" x14ac:dyDescent="0.25">
      <c r="A5" s="626" t="s">
        <v>454</v>
      </c>
      <c r="B5" s="626"/>
      <c r="C5" s="626"/>
      <c r="D5" s="626"/>
      <c r="E5" s="626"/>
    </row>
    <row r="6" spans="1:7" ht="125.25" customHeight="1" x14ac:dyDescent="0.25">
      <c r="A6" s="790" t="s">
        <v>455</v>
      </c>
      <c r="B6" s="790"/>
      <c r="C6" s="790"/>
      <c r="D6" s="790"/>
      <c r="E6" s="790"/>
    </row>
    <row r="7" spans="1:7" x14ac:dyDescent="0.25">
      <c r="A7" s="47" t="s">
        <v>283</v>
      </c>
      <c r="B7" s="47"/>
      <c r="C7" s="47"/>
      <c r="D7" s="446">
        <f>+D13</f>
        <v>99939</v>
      </c>
      <c r="E7" s="445" t="s">
        <v>32</v>
      </c>
      <c r="F7" s="47"/>
      <c r="G7" s="47"/>
    </row>
    <row r="8" spans="1:7" x14ac:dyDescent="0.25">
      <c r="A8"/>
      <c r="B8" s="534"/>
      <c r="C8" s="200"/>
      <c r="D8" s="445"/>
      <c r="E8" s="200"/>
      <c r="F8" s="93"/>
      <c r="G8" s="529"/>
    </row>
    <row r="9" spans="1:7" x14ac:dyDescent="0.25">
      <c r="A9" s="43">
        <v>3719800</v>
      </c>
      <c r="B9" s="10" t="s">
        <v>92</v>
      </c>
      <c r="C9" s="10" t="s">
        <v>1</v>
      </c>
      <c r="D9" s="10" t="s">
        <v>11</v>
      </c>
      <c r="E9" s="10" t="s">
        <v>5</v>
      </c>
    </row>
    <row r="10" spans="1:7" ht="38.25" customHeight="1" x14ac:dyDescent="0.25">
      <c r="A10" s="44"/>
      <c r="B10" s="603" t="s">
        <v>456</v>
      </c>
      <c r="C10" s="35">
        <v>100000</v>
      </c>
      <c r="D10" s="36">
        <v>99939</v>
      </c>
      <c r="E10" s="37">
        <f>+C10-D10</f>
        <v>61</v>
      </c>
    </row>
    <row r="11" spans="1:7" ht="18.75" hidden="1" customHeight="1" x14ac:dyDescent="0.25">
      <c r="A11" s="44"/>
      <c r="B11" s="136"/>
      <c r="C11" s="35"/>
      <c r="D11" s="36"/>
      <c r="E11" s="37"/>
    </row>
    <row r="12" spans="1:7" ht="39" hidden="1" customHeight="1" x14ac:dyDescent="0.25">
      <c r="A12" s="44"/>
      <c r="B12" s="136"/>
      <c r="C12" s="35"/>
      <c r="D12" s="36"/>
      <c r="E12" s="37"/>
    </row>
    <row r="13" spans="1:7" x14ac:dyDescent="0.25">
      <c r="A13" s="44"/>
      <c r="B13" s="5" t="s">
        <v>37</v>
      </c>
      <c r="C13" s="7">
        <f>SUM(C10:C12)</f>
        <v>100000</v>
      </c>
      <c r="D13" s="7">
        <f>SUM(D10:D12)</f>
        <v>99939</v>
      </c>
      <c r="E13" s="7">
        <f>+C13-D13</f>
        <v>61</v>
      </c>
    </row>
    <row r="14" spans="1:7" x14ac:dyDescent="0.25">
      <c r="A14" s="73"/>
      <c r="B14" s="526" t="s">
        <v>35</v>
      </c>
      <c r="C14" s="60"/>
      <c r="D14" s="66">
        <f>D13/C13*100</f>
        <v>99.938999999999993</v>
      </c>
      <c r="E14" s="67" t="s">
        <v>34</v>
      </c>
    </row>
    <row r="16" spans="1:7" ht="21.75" customHeight="1" x14ac:dyDescent="0.25">
      <c r="A16" s="635" t="s">
        <v>394</v>
      </c>
      <c r="B16" s="635"/>
      <c r="C16" s="635"/>
      <c r="D16" s="635"/>
      <c r="E16" s="635"/>
    </row>
    <row r="18" spans="1:5" x14ac:dyDescent="0.25">
      <c r="A18" s="772" t="s">
        <v>173</v>
      </c>
      <c r="B18" s="772"/>
      <c r="C18" s="296"/>
      <c r="D18" s="131" t="s">
        <v>174</v>
      </c>
      <c r="E18" s="15" t="s">
        <v>175</v>
      </c>
    </row>
  </sheetData>
  <mergeCells count="6">
    <mergeCell ref="A18:B18"/>
    <mergeCell ref="D1:E1"/>
    <mergeCell ref="A4:E4"/>
    <mergeCell ref="A5:E5"/>
    <mergeCell ref="A6:E6"/>
    <mergeCell ref="A16:E16"/>
  </mergeCells>
  <pageMargins left="0.7" right="0.7" top="0.75" bottom="0.75" header="0.3" footer="0.3"/>
  <pageSetup paperSize="9" scale="9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9"/>
  <sheetViews>
    <sheetView workbookViewId="0">
      <selection activeCell="H7" sqref="H7"/>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631" t="s">
        <v>624</v>
      </c>
      <c r="F1" s="631"/>
    </row>
    <row r="2" spans="1:6" x14ac:dyDescent="0.25">
      <c r="E2" t="s">
        <v>171</v>
      </c>
      <c r="F2" s="1"/>
    </row>
    <row r="3" spans="1:6" x14ac:dyDescent="0.25">
      <c r="E3" t="s">
        <v>586</v>
      </c>
      <c r="F3" s="1"/>
    </row>
    <row r="4" spans="1:6" x14ac:dyDescent="0.25">
      <c r="A4" s="650" t="s">
        <v>122</v>
      </c>
      <c r="B4" s="650"/>
      <c r="C4" s="650"/>
      <c r="D4" s="650"/>
      <c r="E4" s="650"/>
      <c r="F4" s="650"/>
    </row>
    <row r="5" spans="1:6" ht="48" customHeight="1" x14ac:dyDescent="0.25">
      <c r="A5" s="626" t="s">
        <v>398</v>
      </c>
      <c r="B5" s="626"/>
      <c r="C5" s="626"/>
      <c r="D5" s="626"/>
      <c r="E5" s="626"/>
      <c r="F5" s="626"/>
    </row>
    <row r="6" spans="1:6" ht="121.5" customHeight="1" x14ac:dyDescent="0.25">
      <c r="A6" s="795" t="s">
        <v>247</v>
      </c>
      <c r="B6" s="795"/>
      <c r="C6" s="795"/>
      <c r="D6" s="795"/>
      <c r="E6" s="795"/>
      <c r="F6" s="795"/>
    </row>
    <row r="7" spans="1:6" ht="69" customHeight="1" x14ac:dyDescent="0.25">
      <c r="A7" s="795" t="s">
        <v>181</v>
      </c>
      <c r="B7" s="795"/>
      <c r="C7" s="795"/>
      <c r="D7" s="795"/>
      <c r="E7" s="795"/>
      <c r="F7" s="795"/>
    </row>
    <row r="8" spans="1:6" ht="34.5" customHeight="1" x14ac:dyDescent="0.25">
      <c r="A8" s="795" t="s">
        <v>102</v>
      </c>
      <c r="B8" s="795"/>
      <c r="C8" s="795"/>
      <c r="D8" s="795"/>
      <c r="E8" s="795"/>
      <c r="F8" s="795"/>
    </row>
    <row r="9" spans="1:6" ht="31.5" x14ac:dyDescent="0.25">
      <c r="A9" s="150" t="s">
        <v>101</v>
      </c>
      <c r="B9" s="10" t="s">
        <v>12</v>
      </c>
      <c r="C9" s="10" t="s">
        <v>10</v>
      </c>
      <c r="D9" s="10" t="s">
        <v>1</v>
      </c>
      <c r="E9" s="10" t="s">
        <v>11</v>
      </c>
      <c r="F9" s="10" t="s">
        <v>5</v>
      </c>
    </row>
    <row r="10" spans="1:6" ht="15.75" customHeight="1" x14ac:dyDescent="0.25">
      <c r="A10" s="792" t="s">
        <v>92</v>
      </c>
      <c r="B10" s="793"/>
      <c r="C10" s="793"/>
      <c r="D10" s="793"/>
      <c r="E10" s="793"/>
      <c r="F10" s="794"/>
    </row>
    <row r="11" spans="1:6" x14ac:dyDescent="0.25">
      <c r="A11" s="81">
        <v>118110</v>
      </c>
      <c r="B11" s="20" t="s">
        <v>13</v>
      </c>
      <c r="C11" s="10"/>
      <c r="D11" s="124"/>
      <c r="E11" s="10"/>
      <c r="F11" s="10"/>
    </row>
    <row r="12" spans="1:6" ht="49.5" customHeight="1" x14ac:dyDescent="0.25">
      <c r="A12" s="39"/>
      <c r="B12" s="3" t="s">
        <v>399</v>
      </c>
      <c r="C12" s="13"/>
      <c r="D12" s="8">
        <v>150000</v>
      </c>
      <c r="E12" s="6">
        <v>150000</v>
      </c>
      <c r="F12" s="16">
        <f>+D12-E12</f>
        <v>0</v>
      </c>
    </row>
    <row r="13" spans="1:6" ht="29.25" customHeight="1" x14ac:dyDescent="0.25">
      <c r="A13" s="39"/>
      <c r="B13" s="417" t="s">
        <v>406</v>
      </c>
      <c r="C13" s="13"/>
      <c r="D13" s="8">
        <v>24500</v>
      </c>
      <c r="E13" s="6">
        <v>23275.8</v>
      </c>
      <c r="F13" s="16">
        <f>+D13-E13</f>
        <v>1224.2000000000007</v>
      </c>
    </row>
    <row r="14" spans="1:6" x14ac:dyDescent="0.25">
      <c r="A14" s="39"/>
      <c r="B14" s="5" t="s">
        <v>3</v>
      </c>
      <c r="C14" s="5"/>
      <c r="D14" s="19">
        <f>SUM(D12:D13)</f>
        <v>174500</v>
      </c>
      <c r="E14" s="19">
        <f>SUM(E12:E13)</f>
        <v>173275.8</v>
      </c>
      <c r="F14" s="7">
        <f>D14-E14</f>
        <v>1224.2000000000116</v>
      </c>
    </row>
    <row r="15" spans="1:6" x14ac:dyDescent="0.25">
      <c r="A15" s="39"/>
      <c r="B15" s="146" t="s">
        <v>35</v>
      </c>
      <c r="C15" s="143"/>
      <c r="D15" s="147">
        <f>E14/D14*100</f>
        <v>99.298452722063033</v>
      </c>
      <c r="E15" s="148" t="s">
        <v>34</v>
      </c>
      <c r="F15" s="39"/>
    </row>
    <row r="17" spans="1:6" ht="22.5" customHeight="1" x14ac:dyDescent="0.25">
      <c r="B17" s="791" t="s">
        <v>394</v>
      </c>
      <c r="C17" s="791"/>
      <c r="D17" s="791"/>
      <c r="E17" s="791"/>
    </row>
    <row r="18" spans="1:6" ht="22.5" customHeight="1" x14ac:dyDescent="0.25">
      <c r="B18" s="444"/>
      <c r="C18" s="444"/>
      <c r="D18" s="444"/>
      <c r="E18" s="444"/>
    </row>
    <row r="19" spans="1:6" x14ac:dyDescent="0.25">
      <c r="A19" t="s">
        <v>173</v>
      </c>
      <c r="D19" s="303"/>
      <c r="E19" s="149" t="s">
        <v>174</v>
      </c>
      <c r="F19" t="s">
        <v>175</v>
      </c>
    </row>
  </sheetData>
  <mergeCells count="8">
    <mergeCell ref="B17:E17"/>
    <mergeCell ref="E1:F1"/>
    <mergeCell ref="A10:F10"/>
    <mergeCell ref="A8:F8"/>
    <mergeCell ref="A6:F6"/>
    <mergeCell ref="A7:F7"/>
    <mergeCell ref="A4:F4"/>
    <mergeCell ref="A5:F5"/>
  </mergeCells>
  <pageMargins left="0.39370078740157483" right="0.39370078740157483"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3"/>
  <sheetViews>
    <sheetView workbookViewId="0">
      <selection activeCell="H6" sqref="H6"/>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15.5703125" customWidth="1"/>
    <col min="11" max="11" width="14.28515625" customWidth="1"/>
  </cols>
  <sheetData>
    <row r="1" spans="1:7" x14ac:dyDescent="0.25">
      <c r="D1" s="631" t="s">
        <v>625</v>
      </c>
      <c r="E1" s="631"/>
    </row>
    <row r="2" spans="1:7" x14ac:dyDescent="0.25">
      <c r="D2" t="s">
        <v>171</v>
      </c>
    </row>
    <row r="3" spans="1:7" x14ac:dyDescent="0.25">
      <c r="D3" t="s">
        <v>586</v>
      </c>
    </row>
    <row r="4" spans="1:7" x14ac:dyDescent="0.25">
      <c r="A4" s="632" t="s">
        <v>122</v>
      </c>
      <c r="B4" s="632"/>
      <c r="C4" s="632"/>
      <c r="D4" s="632"/>
      <c r="E4" s="632"/>
    </row>
    <row r="5" spans="1:7" ht="55.5" customHeight="1" x14ac:dyDescent="0.25">
      <c r="A5" s="632" t="s">
        <v>248</v>
      </c>
      <c r="B5" s="632"/>
      <c r="C5" s="632"/>
      <c r="D5" s="632"/>
      <c r="E5" s="632"/>
    </row>
    <row r="6" spans="1:7" ht="215.25" customHeight="1" x14ac:dyDescent="0.25">
      <c r="A6" s="647" t="s">
        <v>249</v>
      </c>
      <c r="B6" s="647"/>
      <c r="C6" s="647"/>
      <c r="D6" s="647"/>
      <c r="E6" s="647"/>
      <c r="G6" s="194"/>
    </row>
    <row r="7" spans="1:7" x14ac:dyDescent="0.25">
      <c r="A7" s="796" t="s">
        <v>283</v>
      </c>
      <c r="B7" s="796"/>
      <c r="C7" s="796"/>
      <c r="D7" s="589">
        <f>+D19</f>
        <v>363319.5</v>
      </c>
      <c r="E7" s="47" t="s">
        <v>32</v>
      </c>
      <c r="F7" s="47"/>
      <c r="G7" s="47"/>
    </row>
    <row r="8" spans="1:7" x14ac:dyDescent="0.25">
      <c r="A8" s="466"/>
      <c r="B8" s="466"/>
      <c r="C8" s="466"/>
      <c r="D8" s="307"/>
      <c r="E8" s="47"/>
      <c r="F8" s="47"/>
      <c r="G8" s="47"/>
    </row>
    <row r="9" spans="1:7" x14ac:dyDescent="0.25">
      <c r="A9" s="466"/>
      <c r="B9" s="465" t="s">
        <v>28</v>
      </c>
      <c r="C9" s="466"/>
      <c r="D9" s="307">
        <f>+D14</f>
        <v>174909.5</v>
      </c>
      <c r="E9" s="47" t="s">
        <v>32</v>
      </c>
      <c r="F9" s="47"/>
      <c r="G9" s="47"/>
    </row>
    <row r="10" spans="1:7" ht="16.5" x14ac:dyDescent="0.25">
      <c r="B10" s="464" t="s">
        <v>29</v>
      </c>
      <c r="D10" s="590">
        <f>+D18</f>
        <v>188410</v>
      </c>
      <c r="E10" s="47" t="s">
        <v>32</v>
      </c>
      <c r="G10" s="194"/>
    </row>
    <row r="11" spans="1:7" ht="31.5" x14ac:dyDescent="0.25">
      <c r="A11" s="10" t="s">
        <v>22</v>
      </c>
      <c r="B11" s="10" t="s">
        <v>12</v>
      </c>
      <c r="C11" s="10" t="s">
        <v>1</v>
      </c>
      <c r="D11" s="10" t="s">
        <v>11</v>
      </c>
      <c r="E11" s="10" t="s">
        <v>5</v>
      </c>
      <c r="G11" s="194"/>
    </row>
    <row r="12" spans="1:7" ht="32.25" customHeight="1" x14ac:dyDescent="0.25">
      <c r="A12" s="34">
        <v>118110</v>
      </c>
      <c r="B12" s="97" t="s">
        <v>400</v>
      </c>
      <c r="C12" s="35">
        <v>368500</v>
      </c>
      <c r="D12" s="36">
        <v>174909.5</v>
      </c>
      <c r="E12" s="37">
        <f>C12-D12</f>
        <v>193590.5</v>
      </c>
      <c r="G12" s="194"/>
    </row>
    <row r="13" spans="1:7" ht="32.25" customHeight="1" x14ac:dyDescent="0.25">
      <c r="A13" s="523"/>
      <c r="B13" s="97" t="s">
        <v>209</v>
      </c>
      <c r="C13" s="35">
        <v>69900</v>
      </c>
      <c r="D13" s="36">
        <v>0</v>
      </c>
      <c r="E13" s="37">
        <f>C13-D13</f>
        <v>69900</v>
      </c>
      <c r="G13" s="194"/>
    </row>
    <row r="14" spans="1:7" ht="16.5" x14ac:dyDescent="0.25">
      <c r="A14" s="755" t="s">
        <v>15</v>
      </c>
      <c r="B14" s="756"/>
      <c r="C14" s="48">
        <f>+C13+C12</f>
        <v>438400</v>
      </c>
      <c r="D14" s="48">
        <f t="shared" ref="D14:E14" si="0">+D13+D12</f>
        <v>174909.5</v>
      </c>
      <c r="E14" s="48">
        <f t="shared" si="0"/>
        <v>263490.5</v>
      </c>
      <c r="G14" s="194"/>
    </row>
    <row r="15" spans="1:7" ht="16.5" x14ac:dyDescent="0.25">
      <c r="A15" s="797" t="s">
        <v>17</v>
      </c>
      <c r="B15" s="798"/>
      <c r="C15" s="798"/>
      <c r="D15" s="798"/>
      <c r="E15" s="799"/>
      <c r="G15" s="194"/>
    </row>
    <row r="16" spans="1:7" ht="94.5" x14ac:dyDescent="0.25">
      <c r="A16" s="523">
        <v>118110</v>
      </c>
      <c r="B16" s="13" t="s">
        <v>401</v>
      </c>
      <c r="C16" s="35">
        <v>160000</v>
      </c>
      <c r="D16" s="35">
        <v>143110</v>
      </c>
      <c r="E16" s="35">
        <f>+C16-D16</f>
        <v>16890</v>
      </c>
      <c r="G16" s="194"/>
    </row>
    <row r="17" spans="1:7" ht="47.25" x14ac:dyDescent="0.25">
      <c r="A17" s="523"/>
      <c r="B17" s="13" t="s">
        <v>402</v>
      </c>
      <c r="C17" s="35">
        <v>65000</v>
      </c>
      <c r="D17" s="35">
        <v>45300</v>
      </c>
      <c r="E17" s="35">
        <f>+C17-D17</f>
        <v>19700</v>
      </c>
      <c r="G17" s="194"/>
    </row>
    <row r="18" spans="1:7" ht="16.5" x14ac:dyDescent="0.25">
      <c r="A18" s="523"/>
      <c r="B18" s="185" t="s">
        <v>36</v>
      </c>
      <c r="C18" s="587">
        <f>SUM(C16:C17)</f>
        <v>225000</v>
      </c>
      <c r="D18" s="587">
        <f t="shared" ref="D18" si="1">SUM(D16:D17)</f>
        <v>188410</v>
      </c>
      <c r="E18" s="587">
        <f>+C18-D18</f>
        <v>36590</v>
      </c>
      <c r="G18" s="194"/>
    </row>
    <row r="19" spans="1:7" ht="16.5" x14ac:dyDescent="0.25">
      <c r="A19" s="467"/>
      <c r="B19" s="585" t="s">
        <v>121</v>
      </c>
      <c r="C19" s="586">
        <f>+C14+C18</f>
        <v>663400</v>
      </c>
      <c r="D19" s="586">
        <f t="shared" ref="D19" si="2">+D14+D18</f>
        <v>363319.5</v>
      </c>
      <c r="E19" s="588">
        <f>+C19-D19</f>
        <v>300080.5</v>
      </c>
      <c r="G19" s="194"/>
    </row>
    <row r="20" spans="1:7" ht="16.5" x14ac:dyDescent="0.25">
      <c r="A20" s="3"/>
      <c r="B20" s="442" t="s">
        <v>35</v>
      </c>
      <c r="C20" s="144"/>
      <c r="D20" s="75">
        <f>+D19/C19*100</f>
        <v>54.766279770877304</v>
      </c>
      <c r="E20" s="144" t="s">
        <v>34</v>
      </c>
      <c r="G20" s="194"/>
    </row>
    <row r="21" spans="1:7" ht="16.5" x14ac:dyDescent="0.25">
      <c r="G21" s="194"/>
    </row>
    <row r="22" spans="1:7" ht="23.25" customHeight="1" x14ac:dyDescent="0.25">
      <c r="A22" s="647" t="s">
        <v>403</v>
      </c>
      <c r="B22" s="647"/>
      <c r="C22" s="647"/>
      <c r="D22" s="647"/>
      <c r="E22" s="647"/>
    </row>
    <row r="23" spans="1:7" ht="28.5" customHeight="1" x14ac:dyDescent="0.25">
      <c r="A23" s="754" t="s">
        <v>173</v>
      </c>
      <c r="B23" s="754"/>
      <c r="C23" s="179"/>
      <c r="D23" s="28" t="s">
        <v>174</v>
      </c>
      <c r="E23" s="1" t="s">
        <v>175</v>
      </c>
    </row>
  </sheetData>
  <mergeCells count="9">
    <mergeCell ref="D1:E1"/>
    <mergeCell ref="A23:B23"/>
    <mergeCell ref="A22:E22"/>
    <mergeCell ref="A5:E5"/>
    <mergeCell ref="A4:E4"/>
    <mergeCell ref="A14:B14"/>
    <mergeCell ref="A6:E6"/>
    <mergeCell ref="A7:C7"/>
    <mergeCell ref="A15:E1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9"/>
  <sheetViews>
    <sheetView workbookViewId="0">
      <selection activeCell="I12" sqref="I12"/>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11" x14ac:dyDescent="0.25">
      <c r="D1" s="631" t="s">
        <v>626</v>
      </c>
      <c r="E1" s="631"/>
    </row>
    <row r="2" spans="1:11" x14ac:dyDescent="0.25">
      <c r="D2" t="s">
        <v>171</v>
      </c>
    </row>
    <row r="3" spans="1:11" x14ac:dyDescent="0.25">
      <c r="D3" t="s">
        <v>597</v>
      </c>
    </row>
    <row r="4" spans="1:11" x14ac:dyDescent="0.25">
      <c r="A4" s="632" t="s">
        <v>122</v>
      </c>
      <c r="B4" s="632"/>
      <c r="C4" s="632"/>
      <c r="D4" s="632"/>
      <c r="E4" s="632"/>
    </row>
    <row r="5" spans="1:11" ht="55.5" customHeight="1" x14ac:dyDescent="0.25">
      <c r="A5" s="632" t="s">
        <v>245</v>
      </c>
      <c r="B5" s="632"/>
      <c r="C5" s="632"/>
      <c r="D5" s="632"/>
      <c r="E5" s="632"/>
    </row>
    <row r="6" spans="1:11" ht="163.5" customHeight="1" x14ac:dyDescent="0.25">
      <c r="A6" s="647" t="s">
        <v>246</v>
      </c>
      <c r="B6" s="647"/>
      <c r="C6" s="647"/>
      <c r="D6" s="647"/>
      <c r="E6" s="647"/>
      <c r="G6" s="194"/>
    </row>
    <row r="7" spans="1:11" x14ac:dyDescent="0.25">
      <c r="A7" s="796" t="s">
        <v>190</v>
      </c>
      <c r="B7" s="796"/>
      <c r="C7" s="796"/>
      <c r="D7" s="449">
        <f>+C8+C9</f>
        <v>32807.050000000003</v>
      </c>
      <c r="E7" s="397" t="s">
        <v>32</v>
      </c>
      <c r="F7" s="47"/>
      <c r="G7" s="47"/>
    </row>
    <row r="8" spans="1:11" x14ac:dyDescent="0.25">
      <c r="A8" s="410"/>
      <c r="B8" s="409" t="s">
        <v>28</v>
      </c>
      <c r="C8" s="443">
        <f>+D14</f>
        <v>32807.050000000003</v>
      </c>
      <c r="D8" s="397" t="s">
        <v>32</v>
      </c>
      <c r="E8" s="47"/>
      <c r="F8" s="47"/>
      <c r="G8" s="47"/>
    </row>
    <row r="9" spans="1:11" x14ac:dyDescent="0.25">
      <c r="A9" s="410"/>
      <c r="B9" s="407" t="s">
        <v>29</v>
      </c>
      <c r="C9" s="389">
        <f>+D19</f>
        <v>0</v>
      </c>
      <c r="D9" s="397" t="s">
        <v>32</v>
      </c>
      <c r="E9" s="47"/>
      <c r="F9" s="47"/>
      <c r="G9" s="47"/>
    </row>
    <row r="10" spans="1:11" ht="16.5" x14ac:dyDescent="0.25">
      <c r="G10" s="194"/>
    </row>
    <row r="11" spans="1:11" ht="31.5" x14ac:dyDescent="0.25">
      <c r="A11" s="10" t="s">
        <v>22</v>
      </c>
      <c r="B11" s="10" t="s">
        <v>12</v>
      </c>
      <c r="C11" s="10" t="s">
        <v>1</v>
      </c>
      <c r="D11" s="10" t="s">
        <v>11</v>
      </c>
      <c r="E11" s="10" t="s">
        <v>5</v>
      </c>
      <c r="G11" s="194"/>
    </row>
    <row r="12" spans="1:11" ht="82.5" customHeight="1" x14ac:dyDescent="0.25">
      <c r="A12" s="34">
        <v>118110</v>
      </c>
      <c r="B12" s="18" t="s">
        <v>405</v>
      </c>
      <c r="C12" s="35">
        <v>18000</v>
      </c>
      <c r="D12" s="36">
        <v>17783.77</v>
      </c>
      <c r="E12" s="37">
        <f>+C12-D12</f>
        <v>216.22999999999956</v>
      </c>
      <c r="G12" s="194"/>
    </row>
    <row r="13" spans="1:11" ht="63" x14ac:dyDescent="0.25">
      <c r="A13" s="34"/>
      <c r="B13" s="18" t="s">
        <v>404</v>
      </c>
      <c r="C13" s="35">
        <v>15050</v>
      </c>
      <c r="D13" s="36">
        <v>15023.28</v>
      </c>
      <c r="E13" s="37">
        <f>+C13-D13</f>
        <v>26.719999999999345</v>
      </c>
      <c r="G13" s="194"/>
      <c r="I13" s="181"/>
      <c r="J13" s="182"/>
      <c r="K13" s="183"/>
    </row>
    <row r="14" spans="1:11" ht="16.5" hidden="1" x14ac:dyDescent="0.25">
      <c r="A14" s="800" t="s">
        <v>15</v>
      </c>
      <c r="B14" s="800"/>
      <c r="C14" s="48">
        <f>SUM(C12:C13)</f>
        <v>33050</v>
      </c>
      <c r="D14" s="48">
        <f>SUM(D12:D13)</f>
        <v>32807.050000000003</v>
      </c>
      <c r="E14" s="48">
        <f>+C14-D14</f>
        <v>242.94999999999709</v>
      </c>
      <c r="G14" s="194"/>
    </row>
    <row r="15" spans="1:11" ht="16.5" hidden="1" x14ac:dyDescent="0.25">
      <c r="A15" s="3"/>
      <c r="B15" s="442" t="s">
        <v>35</v>
      </c>
      <c r="C15" s="144"/>
      <c r="D15" s="75">
        <f>D14/C14*100</f>
        <v>99.264901664145242</v>
      </c>
      <c r="E15" s="144" t="s">
        <v>34</v>
      </c>
      <c r="G15" s="194"/>
    </row>
    <row r="16" spans="1:11" ht="16.5" hidden="1" x14ac:dyDescent="0.25">
      <c r="A16" s="715" t="s">
        <v>17</v>
      </c>
      <c r="B16" s="715"/>
      <c r="C16" s="715"/>
      <c r="D16" s="715"/>
      <c r="E16" s="715"/>
      <c r="G16" s="194"/>
    </row>
    <row r="17" spans="1:7" ht="16.5" hidden="1" x14ac:dyDescent="0.25">
      <c r="A17" s="34"/>
      <c r="B17" s="3"/>
      <c r="C17" s="394"/>
      <c r="D17" s="394"/>
      <c r="E17" s="29"/>
      <c r="G17" s="194"/>
    </row>
    <row r="18" spans="1:7" ht="16.5" hidden="1" x14ac:dyDescent="0.25">
      <c r="A18" s="78"/>
      <c r="B18" s="185" t="s">
        <v>36</v>
      </c>
      <c r="C18" s="395">
        <f>+C17</f>
        <v>0</v>
      </c>
      <c r="D18" s="395">
        <f>+D17</f>
        <v>0</v>
      </c>
      <c r="E18" s="85">
        <f>SUM(E17:E17)</f>
        <v>0</v>
      </c>
      <c r="G18" s="194"/>
    </row>
    <row r="19" spans="1:7" ht="16.5" hidden="1" x14ac:dyDescent="0.25">
      <c r="A19" s="39"/>
      <c r="B19" s="236" t="s">
        <v>18</v>
      </c>
      <c r="C19" s="396">
        <f>+C18</f>
        <v>0</v>
      </c>
      <c r="D19" s="396">
        <f>+D18</f>
        <v>0</v>
      </c>
      <c r="E19" s="33">
        <f>E18</f>
        <v>0</v>
      </c>
      <c r="G19" s="194"/>
    </row>
    <row r="20" spans="1:7" ht="20.25" customHeight="1" x14ac:dyDescent="0.25">
      <c r="A20" s="39"/>
      <c r="B20" s="236" t="s">
        <v>37</v>
      </c>
      <c r="C20" s="33">
        <f>+C19+C14</f>
        <v>33050</v>
      </c>
      <c r="D20" s="33">
        <f>+D19+D14</f>
        <v>32807.050000000003</v>
      </c>
      <c r="E20" s="33">
        <f>+C20-D20</f>
        <v>242.94999999999709</v>
      </c>
    </row>
    <row r="21" spans="1:7" ht="28.5" customHeight="1" x14ac:dyDescent="0.25">
      <c r="A21" s="39"/>
      <c r="B21" s="442" t="s">
        <v>35</v>
      </c>
      <c r="C21" s="64"/>
      <c r="D21" s="66">
        <f>D20/C20*100</f>
        <v>99.264901664145242</v>
      </c>
      <c r="E21" s="64" t="s">
        <v>34</v>
      </c>
    </row>
    <row r="23" spans="1:7" ht="15" x14ac:dyDescent="0.25">
      <c r="A23" t="s">
        <v>240</v>
      </c>
      <c r="B23"/>
      <c r="C23"/>
      <c r="D23"/>
      <c r="E23"/>
    </row>
    <row r="24" spans="1:7" ht="15" x14ac:dyDescent="0.25">
      <c r="A24"/>
      <c r="B24"/>
      <c r="C24"/>
      <c r="D24"/>
      <c r="E24"/>
    </row>
    <row r="25" spans="1:7" ht="15" x14ac:dyDescent="0.25">
      <c r="A25"/>
      <c r="B25"/>
      <c r="C25"/>
      <c r="D25"/>
      <c r="E25"/>
    </row>
    <row r="26" spans="1:7" ht="15" x14ac:dyDescent="0.25">
      <c r="A26" t="s">
        <v>173</v>
      </c>
      <c r="B26"/>
      <c r="C26" s="303"/>
      <c r="D26" s="149" t="s">
        <v>174</v>
      </c>
      <c r="E26" t="s">
        <v>175</v>
      </c>
    </row>
    <row r="29" spans="1:7" x14ac:dyDescent="0.25">
      <c r="D29" s="99"/>
      <c r="E29" s="99"/>
    </row>
  </sheetData>
  <mergeCells count="7">
    <mergeCell ref="A16:E16"/>
    <mergeCell ref="D1:E1"/>
    <mergeCell ref="A4:E4"/>
    <mergeCell ref="A5:E5"/>
    <mergeCell ref="A6:E6"/>
    <mergeCell ref="A7:C7"/>
    <mergeCell ref="A14:B1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9"/>
  <sheetViews>
    <sheetView workbookViewId="0">
      <selection activeCell="I12" sqref="I12"/>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631" t="s">
        <v>627</v>
      </c>
      <c r="E1" s="631"/>
    </row>
    <row r="2" spans="1:5" ht="15.75" x14ac:dyDescent="0.25">
      <c r="D2" t="s">
        <v>171</v>
      </c>
      <c r="E2" s="1"/>
    </row>
    <row r="3" spans="1:5" s="219" customFormat="1" ht="17.25" x14ac:dyDescent="0.25">
      <c r="A3" s="42"/>
      <c r="B3" s="217"/>
      <c r="C3" s="218"/>
      <c r="D3" t="s">
        <v>586</v>
      </c>
      <c r="E3" s="1"/>
    </row>
    <row r="4" spans="1:5" ht="18" customHeight="1" x14ac:dyDescent="0.25">
      <c r="A4" s="650" t="s">
        <v>122</v>
      </c>
      <c r="B4" s="650"/>
      <c r="C4" s="650"/>
      <c r="D4" s="650"/>
      <c r="E4" s="650"/>
    </row>
    <row r="5" spans="1:5" ht="53.25" customHeight="1" x14ac:dyDescent="0.25">
      <c r="A5" s="737" t="s">
        <v>407</v>
      </c>
      <c r="B5" s="737"/>
      <c r="C5" s="737"/>
      <c r="D5" s="737"/>
      <c r="E5" s="737"/>
    </row>
    <row r="6" spans="1:5" ht="117" customHeight="1" x14ac:dyDescent="0.25">
      <c r="A6" s="801" t="s">
        <v>144</v>
      </c>
      <c r="B6" s="801"/>
      <c r="C6" s="801"/>
      <c r="D6" s="801"/>
      <c r="E6" s="801"/>
    </row>
    <row r="7" spans="1:5" ht="15.75" x14ac:dyDescent="0.25">
      <c r="A7" s="796" t="s">
        <v>283</v>
      </c>
      <c r="B7" s="796"/>
      <c r="C7" s="796"/>
      <c r="D7" s="207">
        <f>D13</f>
        <v>216100</v>
      </c>
      <c r="E7" s="92" t="s">
        <v>32</v>
      </c>
    </row>
    <row r="8" spans="1:5" ht="15.75" x14ac:dyDescent="0.25">
      <c r="A8" s="43" t="s">
        <v>22</v>
      </c>
      <c r="B8" s="10" t="s">
        <v>12</v>
      </c>
      <c r="C8" s="10" t="s">
        <v>1</v>
      </c>
      <c r="D8" s="10" t="s">
        <v>11</v>
      </c>
      <c r="E8" s="10" t="s">
        <v>5</v>
      </c>
    </row>
    <row r="9" spans="1:5" ht="15.75" x14ac:dyDescent="0.25">
      <c r="A9" s="43">
        <v>110180</v>
      </c>
      <c r="B9" s="3" t="s">
        <v>26</v>
      </c>
      <c r="C9" s="35"/>
      <c r="D9" s="36"/>
      <c r="E9" s="37"/>
    </row>
    <row r="10" spans="1:5" ht="15.75" x14ac:dyDescent="0.25">
      <c r="A10" s="44"/>
      <c r="B10" s="3" t="s">
        <v>409</v>
      </c>
      <c r="C10" s="35">
        <v>15600</v>
      </c>
      <c r="D10" s="36">
        <v>15600</v>
      </c>
      <c r="E10" s="37"/>
    </row>
    <row r="11" spans="1:5" ht="31.5" x14ac:dyDescent="0.25">
      <c r="A11" s="44"/>
      <c r="B11" s="3" t="s">
        <v>410</v>
      </c>
      <c r="C11" s="35">
        <v>3500</v>
      </c>
      <c r="D11" s="36">
        <v>3500</v>
      </c>
      <c r="E11" s="37"/>
    </row>
    <row r="12" spans="1:5" ht="47.25" x14ac:dyDescent="0.25">
      <c r="A12" s="44"/>
      <c r="B12" s="3" t="s">
        <v>408</v>
      </c>
      <c r="C12" s="35">
        <v>197000</v>
      </c>
      <c r="D12" s="36">
        <v>197000</v>
      </c>
      <c r="E12" s="37"/>
    </row>
    <row r="13" spans="1:5" ht="15.75" x14ac:dyDescent="0.25">
      <c r="A13" s="44"/>
      <c r="B13" s="213" t="s">
        <v>27</v>
      </c>
      <c r="C13" s="214">
        <f>SUM(C9:C12)</f>
        <v>216100</v>
      </c>
      <c r="D13" s="48">
        <f>SUM(D9:D12)</f>
        <v>216100</v>
      </c>
      <c r="E13" s="215">
        <f>C13-D13</f>
        <v>0</v>
      </c>
    </row>
    <row r="14" spans="1:5" x14ac:dyDescent="0.25">
      <c r="A14" s="59"/>
      <c r="B14" s="212" t="s">
        <v>35</v>
      </c>
      <c r="C14" s="211"/>
      <c r="D14" s="216">
        <f>D13/C13*100</f>
        <v>100</v>
      </c>
      <c r="E14" s="81" t="s">
        <v>34</v>
      </c>
    </row>
    <row r="16" spans="1:5" x14ac:dyDescent="0.25">
      <c r="A16" t="s">
        <v>394</v>
      </c>
    </row>
    <row r="19" spans="1:5" x14ac:dyDescent="0.25">
      <c r="A19" t="s">
        <v>173</v>
      </c>
      <c r="C19" s="303"/>
      <c r="D19" s="149" t="s">
        <v>174</v>
      </c>
      <c r="E19" t="s">
        <v>175</v>
      </c>
    </row>
  </sheetData>
  <mergeCells count="5">
    <mergeCell ref="A5:E5"/>
    <mergeCell ref="A4:E4"/>
    <mergeCell ref="A6:E6"/>
    <mergeCell ref="A7:C7"/>
    <mergeCell ref="D1:E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8"/>
  <sheetViews>
    <sheetView workbookViewId="0">
      <selection activeCell="K6" sqref="K6"/>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631" t="s">
        <v>628</v>
      </c>
      <c r="E1" s="631"/>
    </row>
    <row r="2" spans="1:5" ht="15.75" x14ac:dyDescent="0.25">
      <c r="D2" t="s">
        <v>171</v>
      </c>
      <c r="E2" s="1"/>
    </row>
    <row r="3" spans="1:5" s="219" customFormat="1" ht="17.25" x14ac:dyDescent="0.25">
      <c r="A3" s="42"/>
      <c r="B3" s="217"/>
      <c r="C3" s="218"/>
      <c r="D3" t="s">
        <v>586</v>
      </c>
      <c r="E3" s="1"/>
    </row>
    <row r="4" spans="1:5" ht="18" customHeight="1" x14ac:dyDescent="0.25">
      <c r="A4" s="650" t="s">
        <v>241</v>
      </c>
      <c r="B4" s="650"/>
      <c r="C4" s="650"/>
      <c r="D4" s="650"/>
      <c r="E4" s="650"/>
    </row>
    <row r="5" spans="1:5" ht="53.25" customHeight="1" x14ac:dyDescent="0.25">
      <c r="A5" s="737" t="s">
        <v>242</v>
      </c>
      <c r="B5" s="737"/>
      <c r="C5" s="737"/>
      <c r="D5" s="737"/>
      <c r="E5" s="737"/>
    </row>
    <row r="6" spans="1:5" ht="242.25" customHeight="1" x14ac:dyDescent="0.25">
      <c r="A6" s="801" t="s">
        <v>243</v>
      </c>
      <c r="B6" s="801"/>
      <c r="C6" s="801"/>
      <c r="D6" s="801"/>
      <c r="E6" s="801"/>
    </row>
    <row r="7" spans="1:5" ht="15.75" x14ac:dyDescent="0.25">
      <c r="A7" s="796" t="s">
        <v>283</v>
      </c>
      <c r="B7" s="796"/>
      <c r="C7" s="796"/>
      <c r="D7" s="433">
        <f>D22</f>
        <v>505200.71</v>
      </c>
      <c r="E7" s="92" t="s">
        <v>32</v>
      </c>
    </row>
    <row r="8" spans="1:5" ht="15.75" x14ac:dyDescent="0.25">
      <c r="A8" s="43" t="s">
        <v>22</v>
      </c>
      <c r="B8" s="10" t="s">
        <v>12</v>
      </c>
      <c r="C8" s="10" t="s">
        <v>1</v>
      </c>
      <c r="D8" s="10" t="s">
        <v>11</v>
      </c>
      <c r="E8" s="10" t="s">
        <v>5</v>
      </c>
    </row>
    <row r="9" spans="1:5" ht="110.25" x14ac:dyDescent="0.25">
      <c r="A9" s="43">
        <v>110150</v>
      </c>
      <c r="B9" s="3" t="s">
        <v>411</v>
      </c>
      <c r="C9" s="432">
        <v>200000</v>
      </c>
      <c r="D9" s="423">
        <v>0</v>
      </c>
      <c r="E9" s="423">
        <f>+C9-D9</f>
        <v>200000</v>
      </c>
    </row>
    <row r="10" spans="1:5" ht="111.75" customHeight="1" x14ac:dyDescent="0.25">
      <c r="A10" s="43"/>
      <c r="B10" s="3" t="s">
        <v>412</v>
      </c>
      <c r="C10" s="432">
        <v>105000</v>
      </c>
      <c r="D10" s="423">
        <v>0</v>
      </c>
      <c r="E10" s="423">
        <f t="shared" ref="E10:E13" si="0">+C10-D10</f>
        <v>105000</v>
      </c>
    </row>
    <row r="11" spans="1:5" ht="99.75" hidden="1" customHeight="1" x14ac:dyDescent="0.25">
      <c r="A11" s="43"/>
      <c r="B11" s="3"/>
      <c r="C11" s="432"/>
      <c r="D11" s="423"/>
      <c r="E11" s="423">
        <f t="shared" si="0"/>
        <v>0</v>
      </c>
    </row>
    <row r="12" spans="1:5" ht="79.5" hidden="1" customHeight="1" x14ac:dyDescent="0.25">
      <c r="A12" s="43"/>
      <c r="B12" s="3"/>
      <c r="C12" s="432"/>
      <c r="D12" s="423"/>
      <c r="E12" s="423">
        <f t="shared" si="0"/>
        <v>0</v>
      </c>
    </row>
    <row r="13" spans="1:5" ht="15.75" x14ac:dyDescent="0.25">
      <c r="A13" s="43"/>
      <c r="B13" s="20" t="s">
        <v>36</v>
      </c>
      <c r="C13" s="435">
        <f>SUM(C9:C12)</f>
        <v>305000</v>
      </c>
      <c r="D13" s="435">
        <f>SUM(D9:D12)</f>
        <v>0</v>
      </c>
      <c r="E13" s="424">
        <f t="shared" si="0"/>
        <v>305000</v>
      </c>
    </row>
    <row r="14" spans="1:5" ht="84.75" customHeight="1" x14ac:dyDescent="0.25">
      <c r="A14" s="43">
        <v>111080</v>
      </c>
      <c r="B14" s="593" t="s">
        <v>413</v>
      </c>
      <c r="C14" s="434">
        <v>736450</v>
      </c>
      <c r="D14" s="434">
        <v>505200.71</v>
      </c>
      <c r="E14" s="423">
        <f>+C14-D14</f>
        <v>231249.28999999998</v>
      </c>
    </row>
    <row r="15" spans="1:5" ht="15.75" hidden="1" x14ac:dyDescent="0.25">
      <c r="A15" s="43"/>
      <c r="B15" s="123"/>
      <c r="C15" s="434"/>
      <c r="D15" s="434"/>
      <c r="E15" s="423"/>
    </row>
    <row r="16" spans="1:5" ht="15.75" hidden="1" x14ac:dyDescent="0.25">
      <c r="A16" s="43"/>
      <c r="B16" s="123"/>
      <c r="C16" s="434"/>
      <c r="D16" s="434"/>
      <c r="E16" s="423"/>
    </row>
    <row r="17" spans="1:5" ht="141" hidden="1" customHeight="1" x14ac:dyDescent="0.25">
      <c r="A17" s="43"/>
      <c r="B17" s="3"/>
      <c r="C17" s="432"/>
      <c r="D17" s="423"/>
      <c r="E17" s="423"/>
    </row>
    <row r="18" spans="1:5" ht="15" hidden="1" customHeight="1" x14ac:dyDescent="0.25">
      <c r="A18" s="43"/>
      <c r="B18" s="20" t="s">
        <v>36</v>
      </c>
      <c r="C18" s="438">
        <f>SUM(C14:C17)</f>
        <v>736450</v>
      </c>
      <c r="D18" s="435">
        <f t="shared" ref="D18:E18" si="1">SUM(D14:D17)</f>
        <v>505200.71</v>
      </c>
      <c r="E18" s="438">
        <f t="shared" si="1"/>
        <v>231249.28999999998</v>
      </c>
    </row>
    <row r="19" spans="1:5" ht="130.5" hidden="1" customHeight="1" x14ac:dyDescent="0.25">
      <c r="A19" s="43">
        <v>113241</v>
      </c>
      <c r="B19" s="3"/>
      <c r="C19" s="432"/>
      <c r="D19" s="423"/>
      <c r="E19" s="423"/>
    </row>
    <row r="20" spans="1:5" ht="15.75" hidden="1" x14ac:dyDescent="0.25">
      <c r="A20" s="44"/>
      <c r="B20" s="20" t="s">
        <v>36</v>
      </c>
      <c r="C20" s="440">
        <f>SUM(C19)</f>
        <v>0</v>
      </c>
      <c r="D20" s="440">
        <f t="shared" ref="D20:E20" si="2">SUM(D19)</f>
        <v>0</v>
      </c>
      <c r="E20" s="440">
        <f t="shared" si="2"/>
        <v>0</v>
      </c>
    </row>
    <row r="21" spans="1:5" ht="15.75" x14ac:dyDescent="0.25">
      <c r="A21" s="44"/>
      <c r="B21" s="436"/>
      <c r="C21" s="437"/>
      <c r="D21" s="431"/>
      <c r="E21" s="423"/>
    </row>
    <row r="22" spans="1:5" ht="15.75" x14ac:dyDescent="0.25">
      <c r="A22" s="44"/>
      <c r="B22" s="213" t="s">
        <v>37</v>
      </c>
      <c r="C22" s="439">
        <f>+C13+C18+C20</f>
        <v>1041450</v>
      </c>
      <c r="D22" s="439">
        <f>+D13+D18+D20</f>
        <v>505200.71</v>
      </c>
      <c r="E22" s="215">
        <f>C22-D22</f>
        <v>536249.29</v>
      </c>
    </row>
    <row r="23" spans="1:5" x14ac:dyDescent="0.25">
      <c r="A23" s="59"/>
      <c r="B23" s="212" t="s">
        <v>35</v>
      </c>
      <c r="C23" s="211"/>
      <c r="D23" s="216">
        <f>D22/C22*100</f>
        <v>48.509358106486147</v>
      </c>
      <c r="E23" s="81" t="s">
        <v>34</v>
      </c>
    </row>
    <row r="25" spans="1:5" x14ac:dyDescent="0.25">
      <c r="A25" t="s">
        <v>394</v>
      </c>
    </row>
    <row r="28" spans="1:5" x14ac:dyDescent="0.25">
      <c r="A28" t="s">
        <v>173</v>
      </c>
      <c r="C28" s="303"/>
      <c r="D28" s="149" t="s">
        <v>174</v>
      </c>
      <c r="E28" t="s">
        <v>175</v>
      </c>
    </row>
  </sheetData>
  <mergeCells count="5">
    <mergeCell ref="D1:E1"/>
    <mergeCell ref="A4:E4"/>
    <mergeCell ref="A5:E5"/>
    <mergeCell ref="A6:E6"/>
    <mergeCell ref="A7:C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2"/>
  <sheetViews>
    <sheetView view="pageBreakPreview" zoomScale="60" zoomScaleNormal="100" workbookViewId="0">
      <selection activeCell="G6" sqref="G6"/>
    </sheetView>
  </sheetViews>
  <sheetFormatPr defaultRowHeight="15.75" x14ac:dyDescent="0.25"/>
  <cols>
    <col min="1" max="1" width="7.140625" customWidth="1"/>
    <col min="2" max="2" width="40.140625" style="15" customWidth="1"/>
    <col min="3" max="3" width="16.7109375" style="15" customWidth="1"/>
    <col min="4" max="4" width="16.140625" style="24" customWidth="1"/>
    <col min="5" max="5" width="16" style="15" customWidth="1"/>
    <col min="6" max="6" width="10" bestFit="1" customWidth="1"/>
  </cols>
  <sheetData>
    <row r="1" spans="1:5" x14ac:dyDescent="0.25">
      <c r="D1" s="631" t="s">
        <v>629</v>
      </c>
      <c r="E1" s="631"/>
    </row>
    <row r="2" spans="1:5" x14ac:dyDescent="0.25">
      <c r="D2" t="s">
        <v>171</v>
      </c>
      <c r="E2" s="1"/>
    </row>
    <row r="3" spans="1:5" x14ac:dyDescent="0.25">
      <c r="B3" s="1"/>
      <c r="C3" s="1"/>
      <c r="D3" t="s">
        <v>586</v>
      </c>
      <c r="E3" s="1"/>
    </row>
    <row r="4" spans="1:5" x14ac:dyDescent="0.25">
      <c r="A4" s="633" t="s">
        <v>122</v>
      </c>
      <c r="B4" s="633"/>
      <c r="C4" s="633"/>
      <c r="D4" s="633"/>
      <c r="E4" s="633"/>
    </row>
    <row r="5" spans="1:5" ht="43.5" customHeight="1" x14ac:dyDescent="0.25">
      <c r="A5" s="737" t="s">
        <v>414</v>
      </c>
      <c r="B5" s="737"/>
      <c r="C5" s="737"/>
      <c r="D5" s="737"/>
      <c r="E5" s="737"/>
    </row>
    <row r="6" spans="1:5" ht="230.25" customHeight="1" x14ac:dyDescent="0.25">
      <c r="A6" s="624" t="s">
        <v>244</v>
      </c>
      <c r="B6" s="624"/>
      <c r="C6" s="624"/>
      <c r="D6" s="624"/>
      <c r="E6" s="624"/>
    </row>
    <row r="7" spans="1:5" x14ac:dyDescent="0.25">
      <c r="A7" s="47" t="s">
        <v>283</v>
      </c>
      <c r="B7" s="47"/>
      <c r="C7" s="47"/>
      <c r="D7" s="340">
        <f>+C8+C9</f>
        <v>710317.12</v>
      </c>
      <c r="E7" s="93" t="s">
        <v>32</v>
      </c>
    </row>
    <row r="8" spans="1:5" x14ac:dyDescent="0.25">
      <c r="B8" s="406" t="s">
        <v>28</v>
      </c>
      <c r="C8" s="53">
        <f>D27</f>
        <v>423898.91</v>
      </c>
      <c r="D8" s="93" t="s">
        <v>32</v>
      </c>
      <c r="E8" s="406"/>
    </row>
    <row r="9" spans="1:5" x14ac:dyDescent="0.25">
      <c r="B9" s="529" t="s">
        <v>29</v>
      </c>
      <c r="C9" s="53">
        <f>+D34</f>
        <v>286418.21000000002</v>
      </c>
      <c r="D9" s="93" t="s">
        <v>32</v>
      </c>
      <c r="E9" s="406"/>
    </row>
    <row r="10" spans="1:5" s="11" customFormat="1" ht="30" x14ac:dyDescent="0.25">
      <c r="A10" s="95" t="s">
        <v>22</v>
      </c>
      <c r="B10" s="10" t="s">
        <v>30</v>
      </c>
      <c r="C10" s="10" t="s">
        <v>1</v>
      </c>
      <c r="D10" s="109" t="s">
        <v>11</v>
      </c>
      <c r="E10" s="10" t="s">
        <v>5</v>
      </c>
    </row>
    <row r="11" spans="1:5" x14ac:dyDescent="0.25">
      <c r="B11" s="653" t="s">
        <v>16</v>
      </c>
      <c r="C11" s="654"/>
      <c r="D11" s="654"/>
      <c r="E11" s="655"/>
    </row>
    <row r="12" spans="1:5" ht="31.5" x14ac:dyDescent="0.25">
      <c r="A12" s="81">
        <v>111080</v>
      </c>
      <c r="B12" s="5" t="s">
        <v>138</v>
      </c>
      <c r="C12" s="336">
        <v>349354</v>
      </c>
      <c r="D12" s="337">
        <v>348489.98</v>
      </c>
      <c r="E12" s="6"/>
    </row>
    <row r="13" spans="1:5" ht="15" customHeight="1" x14ac:dyDescent="0.25">
      <c r="A13" s="802" t="s">
        <v>427</v>
      </c>
      <c r="B13" s="803"/>
      <c r="C13" s="803"/>
      <c r="D13" s="803"/>
      <c r="E13" s="804"/>
    </row>
    <row r="14" spans="1:5" ht="15.75" customHeight="1" x14ac:dyDescent="0.25">
      <c r="A14" s="805"/>
      <c r="B14" s="806"/>
      <c r="C14" s="806"/>
      <c r="D14" s="806"/>
      <c r="E14" s="807"/>
    </row>
    <row r="15" spans="1:5" ht="15.75" customHeight="1" x14ac:dyDescent="0.25">
      <c r="A15" s="805"/>
      <c r="B15" s="806"/>
      <c r="C15" s="806"/>
      <c r="D15" s="806"/>
      <c r="E15" s="807"/>
    </row>
    <row r="16" spans="1:5" ht="50.25" customHeight="1" x14ac:dyDescent="0.25">
      <c r="A16" s="808"/>
      <c r="B16" s="809"/>
      <c r="C16" s="809"/>
      <c r="D16" s="809"/>
      <c r="E16" s="810"/>
    </row>
    <row r="17" spans="1:8" x14ac:dyDescent="0.25">
      <c r="A17" s="39"/>
      <c r="B17" s="120" t="s">
        <v>97</v>
      </c>
      <c r="C17" s="96">
        <f>+C12</f>
        <v>349354</v>
      </c>
      <c r="D17" s="96">
        <f>SUM(D12:D16)</f>
        <v>348489.98</v>
      </c>
      <c r="E17" s="96">
        <f>C17-D17</f>
        <v>864.02000000001863</v>
      </c>
    </row>
    <row r="18" spans="1:8" x14ac:dyDescent="0.25">
      <c r="A18" s="39"/>
      <c r="B18" s="120" t="s">
        <v>113</v>
      </c>
      <c r="C18" s="594">
        <v>42000</v>
      </c>
      <c r="D18" s="595">
        <v>0</v>
      </c>
      <c r="E18" s="96">
        <f>+C18-D18</f>
        <v>42000</v>
      </c>
      <c r="H18" s="102"/>
    </row>
    <row r="19" spans="1:8" x14ac:dyDescent="0.25">
      <c r="A19" s="39"/>
      <c r="B19" s="120" t="s">
        <v>194</v>
      </c>
      <c r="C19" s="336">
        <v>121198</v>
      </c>
      <c r="D19" s="337">
        <v>59718.93</v>
      </c>
      <c r="E19" s="6"/>
    </row>
    <row r="20" spans="1:8" ht="15.75" customHeight="1" x14ac:dyDescent="0.25">
      <c r="A20" s="677" t="s">
        <v>415</v>
      </c>
      <c r="B20" s="678"/>
      <c r="C20" s="678"/>
      <c r="D20" s="678"/>
      <c r="E20" s="679"/>
    </row>
    <row r="21" spans="1:8" ht="15.75" customHeight="1" x14ac:dyDescent="0.25">
      <c r="A21" s="680"/>
      <c r="B21" s="681"/>
      <c r="C21" s="681"/>
      <c r="D21" s="681"/>
      <c r="E21" s="682"/>
    </row>
    <row r="22" spans="1:8" ht="31.5" customHeight="1" x14ac:dyDescent="0.25">
      <c r="A22" s="680"/>
      <c r="B22" s="681"/>
      <c r="C22" s="681"/>
      <c r="D22" s="681"/>
      <c r="E22" s="682"/>
    </row>
    <row r="23" spans="1:8" ht="31.5" customHeight="1" x14ac:dyDescent="0.25">
      <c r="A23" s="680"/>
      <c r="B23" s="681"/>
      <c r="C23" s="681"/>
      <c r="D23" s="681"/>
      <c r="E23" s="682"/>
    </row>
    <row r="24" spans="1:8" ht="35.25" customHeight="1" x14ac:dyDescent="0.25">
      <c r="A24" s="683"/>
      <c r="B24" s="684"/>
      <c r="C24" s="684"/>
      <c r="D24" s="684"/>
      <c r="E24" s="685"/>
    </row>
    <row r="25" spans="1:8" x14ac:dyDescent="0.25">
      <c r="A25" s="39"/>
      <c r="B25" s="120" t="s">
        <v>139</v>
      </c>
      <c r="C25" s="96">
        <f>+C19</f>
        <v>121198</v>
      </c>
      <c r="D25" s="96">
        <f>SUM(D19:D24)</f>
        <v>59718.93</v>
      </c>
      <c r="E25" s="96">
        <f>C25-D25</f>
        <v>61479.07</v>
      </c>
    </row>
    <row r="26" spans="1:8" x14ac:dyDescent="0.25">
      <c r="A26" s="39"/>
      <c r="B26" s="3" t="s">
        <v>85</v>
      </c>
      <c r="C26" s="337">
        <v>25220</v>
      </c>
      <c r="D26" s="337">
        <v>15690</v>
      </c>
      <c r="E26" s="6">
        <f t="shared" ref="E26" si="0">C26-D26</f>
        <v>9530</v>
      </c>
      <c r="F26" s="102"/>
    </row>
    <row r="27" spans="1:8" x14ac:dyDescent="0.25">
      <c r="A27" s="755" t="s">
        <v>15</v>
      </c>
      <c r="B27" s="756"/>
      <c r="C27" s="33">
        <f>C17+C25+C26+C18</f>
        <v>537772</v>
      </c>
      <c r="D27" s="33">
        <f>D17+D25+D26+D18</f>
        <v>423898.91</v>
      </c>
      <c r="E27" s="33">
        <f>E17+E25+E26</f>
        <v>71873.090000000026</v>
      </c>
    </row>
    <row r="28" spans="1:8" x14ac:dyDescent="0.25">
      <c r="A28" s="797" t="s">
        <v>17</v>
      </c>
      <c r="B28" s="798"/>
      <c r="C28" s="798"/>
      <c r="D28" s="798"/>
      <c r="E28" s="799"/>
    </row>
    <row r="29" spans="1:8" x14ac:dyDescent="0.25">
      <c r="A29" s="150">
        <v>111080</v>
      </c>
      <c r="B29" s="528" t="s">
        <v>417</v>
      </c>
      <c r="C29" s="35">
        <v>37005</v>
      </c>
      <c r="D29" s="35">
        <v>37000.800000000003</v>
      </c>
      <c r="E29" s="35">
        <f>+C29-D29</f>
        <v>4.1999999999970896</v>
      </c>
    </row>
    <row r="30" spans="1:8" ht="47.25" x14ac:dyDescent="0.25">
      <c r="A30" s="535"/>
      <c r="B30" s="533" t="s">
        <v>416</v>
      </c>
      <c r="C30" s="519">
        <v>249570</v>
      </c>
      <c r="D30" s="29">
        <v>249417.41</v>
      </c>
      <c r="E30" s="35">
        <f t="shared" ref="E30:E35" si="1">+C30-D30</f>
        <v>152.58999999999651</v>
      </c>
    </row>
    <row r="31" spans="1:8" hidden="1" x14ac:dyDescent="0.25">
      <c r="A31" s="535"/>
      <c r="B31" s="596"/>
      <c r="C31" s="184"/>
      <c r="D31" s="33"/>
      <c r="E31" s="35">
        <f t="shared" si="1"/>
        <v>0</v>
      </c>
    </row>
    <row r="32" spans="1:8" hidden="1" x14ac:dyDescent="0.25">
      <c r="A32" s="535"/>
      <c r="B32" s="596"/>
      <c r="C32" s="184"/>
      <c r="D32" s="33"/>
      <c r="E32" s="35">
        <f t="shared" si="1"/>
        <v>0</v>
      </c>
    </row>
    <row r="33" spans="1:6" hidden="1" x14ac:dyDescent="0.25">
      <c r="A33" s="535"/>
      <c r="B33" s="596"/>
      <c r="C33" s="184"/>
      <c r="D33" s="33"/>
      <c r="E33" s="35">
        <f t="shared" si="1"/>
        <v>0</v>
      </c>
    </row>
    <row r="34" spans="1:6" x14ac:dyDescent="0.25">
      <c r="A34" s="531"/>
      <c r="B34" s="185" t="s">
        <v>36</v>
      </c>
      <c r="C34" s="184">
        <f>+C29+C30</f>
        <v>286575</v>
      </c>
      <c r="D34" s="33">
        <f>+D29+D30</f>
        <v>286418.21000000002</v>
      </c>
      <c r="E34" s="35">
        <f t="shared" si="1"/>
        <v>156.78999999997905</v>
      </c>
    </row>
    <row r="35" spans="1:6" x14ac:dyDescent="0.25">
      <c r="A35" s="537"/>
      <c r="B35" s="585" t="s">
        <v>121</v>
      </c>
      <c r="C35" s="184">
        <f>+C34+C27</f>
        <v>824347</v>
      </c>
      <c r="D35" s="184">
        <f>+D34+D27</f>
        <v>710317.12</v>
      </c>
      <c r="E35" s="35">
        <f t="shared" si="1"/>
        <v>114029.88</v>
      </c>
    </row>
    <row r="36" spans="1:6" ht="15.75" customHeight="1" x14ac:dyDescent="0.25">
      <c r="A36" s="3"/>
      <c r="B36" s="442" t="s">
        <v>35</v>
      </c>
      <c r="C36" s="63"/>
      <c r="D36" s="65">
        <f>+D35/C35*100</f>
        <v>86.167247530469567</v>
      </c>
      <c r="E36" s="64" t="s">
        <v>34</v>
      </c>
    </row>
    <row r="37" spans="1:6" ht="15" customHeight="1" x14ac:dyDescent="0.25">
      <c r="B37" s="405"/>
      <c r="C37" s="405"/>
      <c r="D37" s="405"/>
      <c r="E37" s="405"/>
    </row>
    <row r="38" spans="1:6" ht="19.5" customHeight="1" x14ac:dyDescent="0.25">
      <c r="A38" s="624" t="s">
        <v>394</v>
      </c>
      <c r="B38" s="624"/>
      <c r="C38" s="624"/>
      <c r="D38" s="624"/>
      <c r="E38" s="624"/>
    </row>
    <row r="40" spans="1:6" x14ac:dyDescent="0.25">
      <c r="C40" s="296"/>
      <c r="D40" s="297" t="s">
        <v>174</v>
      </c>
      <c r="E40" s="15" t="s">
        <v>175</v>
      </c>
    </row>
    <row r="41" spans="1:6" ht="15" x14ac:dyDescent="0.25">
      <c r="A41" t="s">
        <v>173</v>
      </c>
      <c r="B41" s="408"/>
      <c r="C41" s="408"/>
      <c r="D41" s="408"/>
      <c r="E41" s="408"/>
    </row>
    <row r="42" spans="1:6" ht="54.75" customHeight="1" x14ac:dyDescent="0.25">
      <c r="F42" s="408"/>
    </row>
  </sheetData>
  <mergeCells count="10">
    <mergeCell ref="A20:E24"/>
    <mergeCell ref="A38:E38"/>
    <mergeCell ref="D1:E1"/>
    <mergeCell ref="A4:E4"/>
    <mergeCell ref="A5:E5"/>
    <mergeCell ref="A6:E6"/>
    <mergeCell ref="B11:E11"/>
    <mergeCell ref="A13:E16"/>
    <mergeCell ref="A27:B27"/>
    <mergeCell ref="A28:E28"/>
  </mergeCells>
  <pageMargins left="0.7" right="0.7" top="0.75" bottom="0.75" header="0.3" footer="0.3"/>
  <pageSetup paperSize="9" scale="9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57"/>
  <sheetViews>
    <sheetView workbookViewId="0">
      <selection activeCell="N45" sqref="N45"/>
    </sheetView>
  </sheetViews>
  <sheetFormatPr defaultRowHeight="15.75" x14ac:dyDescent="0.25"/>
  <cols>
    <col min="1" max="1" width="7.140625" style="262" customWidth="1"/>
    <col min="2" max="2" width="32.85546875" style="263" customWidth="1"/>
    <col min="3" max="3" width="6.85546875" style="264" customWidth="1"/>
    <col min="4" max="4" width="6.7109375" style="264" bestFit="1" customWidth="1"/>
    <col min="5" max="5" width="14.28515625" style="267" customWidth="1"/>
    <col min="6" max="6" width="14.42578125" style="265" customWidth="1"/>
    <col min="7" max="7" width="14.28515625" style="266" customWidth="1"/>
    <col min="8" max="8" width="16.7109375" hidden="1" customWidth="1"/>
  </cols>
  <sheetData>
    <row r="1" spans="1:9" x14ac:dyDescent="0.25">
      <c r="F1" s="1" t="s">
        <v>630</v>
      </c>
      <c r="G1" s="112"/>
    </row>
    <row r="2" spans="1:9" x14ac:dyDescent="0.25">
      <c r="F2" s="112" t="s">
        <v>171</v>
      </c>
      <c r="G2" s="1"/>
    </row>
    <row r="3" spans="1:9" x14ac:dyDescent="0.25">
      <c r="F3" s="112" t="s">
        <v>586</v>
      </c>
      <c r="G3" s="1"/>
    </row>
    <row r="4" spans="1:9" x14ac:dyDescent="0.25">
      <c r="A4" s="813" t="s">
        <v>123</v>
      </c>
      <c r="B4" s="813"/>
      <c r="C4" s="813"/>
      <c r="D4" s="813"/>
      <c r="E4" s="813"/>
      <c r="F4" s="813"/>
      <c r="G4" s="813"/>
    </row>
    <row r="5" spans="1:9" ht="18.75" customHeight="1" x14ac:dyDescent="0.25">
      <c r="A5" s="813" t="s">
        <v>21</v>
      </c>
      <c r="B5" s="813"/>
      <c r="C5" s="813"/>
      <c r="D5" s="813"/>
      <c r="E5" s="813"/>
      <c r="F5" s="813"/>
      <c r="G5" s="813"/>
    </row>
    <row r="6" spans="1:9" ht="241.5" customHeight="1" x14ac:dyDescent="0.25">
      <c r="A6" s="814" t="s">
        <v>179</v>
      </c>
      <c r="B6" s="814"/>
      <c r="C6" s="814"/>
      <c r="D6" s="814"/>
      <c r="E6" s="814"/>
      <c r="F6" s="814"/>
      <c r="G6" s="814"/>
    </row>
    <row r="7" spans="1:9" x14ac:dyDescent="0.25">
      <c r="A7" s="816" t="s">
        <v>190</v>
      </c>
      <c r="B7" s="816"/>
      <c r="C7" s="816"/>
      <c r="D7" s="816"/>
      <c r="E7" s="298">
        <f>F39</f>
        <v>28468642.929999996</v>
      </c>
      <c r="F7" s="292" t="s">
        <v>32</v>
      </c>
      <c r="G7" s="292"/>
    </row>
    <row r="8" spans="1:9" ht="31.5" x14ac:dyDescent="0.25">
      <c r="A8" s="237" t="s">
        <v>22</v>
      </c>
      <c r="B8" s="135" t="s">
        <v>12</v>
      </c>
      <c r="C8" s="238" t="s">
        <v>67</v>
      </c>
      <c r="D8" s="238" t="s">
        <v>66</v>
      </c>
      <c r="E8" s="238" t="s">
        <v>1</v>
      </c>
      <c r="F8" s="239" t="s">
        <v>11</v>
      </c>
      <c r="G8" s="239" t="s">
        <v>5</v>
      </c>
      <c r="I8" s="194"/>
    </row>
    <row r="9" spans="1:9" ht="78.75" x14ac:dyDescent="0.25">
      <c r="A9" s="240">
        <v>116030</v>
      </c>
      <c r="B9" s="241" t="s">
        <v>476</v>
      </c>
      <c r="C9" s="242">
        <v>45</v>
      </c>
      <c r="D9" s="242" t="s">
        <v>70</v>
      </c>
      <c r="E9" s="243">
        <v>450000</v>
      </c>
      <c r="F9" s="244">
        <v>197500.19</v>
      </c>
      <c r="G9" s="245">
        <f>E9-F9</f>
        <v>252499.81</v>
      </c>
      <c r="I9" s="194"/>
    </row>
    <row r="10" spans="1:9" ht="47.25" x14ac:dyDescent="0.25">
      <c r="A10" s="246"/>
      <c r="B10" s="241" t="s">
        <v>477</v>
      </c>
      <c r="C10" s="247">
        <v>169</v>
      </c>
      <c r="D10" s="247" t="s">
        <v>69</v>
      </c>
      <c r="E10" s="245">
        <v>600000</v>
      </c>
      <c r="F10" s="245">
        <v>550348.14</v>
      </c>
      <c r="G10" s="245">
        <f t="shared" ref="G10:G33" si="0">E10-F10</f>
        <v>49651.859999999986</v>
      </c>
      <c r="I10" s="194"/>
    </row>
    <row r="11" spans="1:9" ht="83.25" customHeight="1" x14ac:dyDescent="0.25">
      <c r="A11" s="246"/>
      <c r="B11" s="241" t="s">
        <v>469</v>
      </c>
      <c r="C11" s="247"/>
      <c r="D11" s="247"/>
      <c r="E11" s="245">
        <v>699400</v>
      </c>
      <c r="F11" s="245">
        <v>699157</v>
      </c>
      <c r="G11" s="245">
        <f t="shared" si="0"/>
        <v>243</v>
      </c>
      <c r="I11" s="194"/>
    </row>
    <row r="12" spans="1:9" ht="35.1" customHeight="1" x14ac:dyDescent="0.25">
      <c r="A12" s="246"/>
      <c r="B12" s="241" t="s">
        <v>470</v>
      </c>
      <c r="C12" s="247"/>
      <c r="D12" s="247"/>
      <c r="E12" s="245">
        <v>1725141</v>
      </c>
      <c r="F12" s="245">
        <v>1617846</v>
      </c>
      <c r="G12" s="245">
        <f t="shared" si="0"/>
        <v>107295</v>
      </c>
      <c r="H12" t="s">
        <v>492</v>
      </c>
      <c r="I12" s="194"/>
    </row>
    <row r="13" spans="1:9" ht="47.25" x14ac:dyDescent="0.25">
      <c r="A13" s="246"/>
      <c r="B13" s="241" t="s">
        <v>471</v>
      </c>
      <c r="C13" s="247"/>
      <c r="D13" s="247"/>
      <c r="E13" s="245">
        <v>3598250</v>
      </c>
      <c r="F13" s="245">
        <v>3283908.71</v>
      </c>
      <c r="G13" s="245">
        <f t="shared" si="0"/>
        <v>314341.29000000004</v>
      </c>
      <c r="H13" t="s">
        <v>490</v>
      </c>
    </row>
    <row r="14" spans="1:9" ht="47.25" x14ac:dyDescent="0.25">
      <c r="A14" s="246"/>
      <c r="B14" s="241" t="s">
        <v>472</v>
      </c>
      <c r="C14" s="247">
        <v>38785</v>
      </c>
      <c r="D14" s="247" t="s">
        <v>42</v>
      </c>
      <c r="E14" s="245">
        <v>13499992</v>
      </c>
      <c r="F14" s="245">
        <v>13444400</v>
      </c>
      <c r="G14" s="245">
        <f t="shared" si="0"/>
        <v>55592</v>
      </c>
      <c r="H14" t="s">
        <v>491</v>
      </c>
    </row>
    <row r="15" spans="1:9" ht="31.5" x14ac:dyDescent="0.25">
      <c r="A15" s="246"/>
      <c r="B15" s="241" t="s">
        <v>473</v>
      </c>
      <c r="C15" s="247">
        <v>84</v>
      </c>
      <c r="D15" s="247" t="s">
        <v>44</v>
      </c>
      <c r="E15" s="245">
        <v>550000</v>
      </c>
      <c r="F15" s="245">
        <v>549841.11</v>
      </c>
      <c r="G15" s="245">
        <f t="shared" si="0"/>
        <v>158.89000000001397</v>
      </c>
    </row>
    <row r="16" spans="1:9" ht="66.75" customHeight="1" x14ac:dyDescent="0.25">
      <c r="A16" s="246"/>
      <c r="B16" s="241" t="s">
        <v>474</v>
      </c>
      <c r="C16" s="247"/>
      <c r="D16" s="247"/>
      <c r="E16" s="245">
        <v>0</v>
      </c>
      <c r="F16" s="245">
        <v>0</v>
      </c>
      <c r="G16" s="245">
        <f t="shared" si="0"/>
        <v>0</v>
      </c>
    </row>
    <row r="17" spans="1:8" ht="24.75" customHeight="1" x14ac:dyDescent="0.25">
      <c r="A17" s="246"/>
      <c r="B17" s="241" t="s">
        <v>257</v>
      </c>
      <c r="C17" s="247"/>
      <c r="D17" s="247"/>
      <c r="E17" s="245">
        <v>30000</v>
      </c>
      <c r="F17" s="245">
        <v>10000</v>
      </c>
      <c r="G17" s="245">
        <f t="shared" si="0"/>
        <v>20000</v>
      </c>
    </row>
    <row r="18" spans="1:8" ht="31.5" x14ac:dyDescent="0.25">
      <c r="A18" s="246"/>
      <c r="B18" s="241" t="s">
        <v>475</v>
      </c>
      <c r="C18" s="247"/>
      <c r="D18" s="247"/>
      <c r="E18" s="245">
        <v>99000</v>
      </c>
      <c r="F18" s="245"/>
      <c r="G18" s="245">
        <f t="shared" si="0"/>
        <v>99000</v>
      </c>
    </row>
    <row r="19" spans="1:8" ht="39" customHeight="1" x14ac:dyDescent="0.25">
      <c r="A19" s="246"/>
      <c r="B19" s="241" t="s">
        <v>500</v>
      </c>
      <c r="C19" s="247"/>
      <c r="D19" s="247"/>
      <c r="E19" s="245">
        <v>198000</v>
      </c>
      <c r="F19" s="245">
        <v>7800</v>
      </c>
      <c r="G19" s="245">
        <f t="shared" si="0"/>
        <v>190200</v>
      </c>
    </row>
    <row r="20" spans="1:8" ht="31.5" x14ac:dyDescent="0.25">
      <c r="A20" s="246"/>
      <c r="B20" s="241" t="s">
        <v>478</v>
      </c>
      <c r="C20" s="247"/>
      <c r="D20" s="247"/>
      <c r="E20" s="245">
        <v>99000</v>
      </c>
      <c r="F20" s="245"/>
      <c r="G20" s="245">
        <f t="shared" si="0"/>
        <v>99000</v>
      </c>
    </row>
    <row r="21" spans="1:8" ht="16.5" customHeight="1" x14ac:dyDescent="0.25">
      <c r="A21" s="246"/>
      <c r="B21" s="241" t="s">
        <v>479</v>
      </c>
      <c r="C21" s="247"/>
      <c r="D21" s="247"/>
      <c r="E21" s="245">
        <v>84300</v>
      </c>
      <c r="F21" s="245"/>
      <c r="G21" s="245">
        <f t="shared" si="0"/>
        <v>84300</v>
      </c>
      <c r="H21" t="s">
        <v>488</v>
      </c>
    </row>
    <row r="22" spans="1:8" ht="95.25" customHeight="1" x14ac:dyDescent="0.25">
      <c r="A22" s="246"/>
      <c r="B22" s="241" t="s">
        <v>481</v>
      </c>
      <c r="C22" s="247"/>
      <c r="D22" s="247"/>
      <c r="E22" s="245">
        <v>5140400</v>
      </c>
      <c r="F22" s="244">
        <v>5140391.29</v>
      </c>
      <c r="G22" s="245">
        <f t="shared" si="0"/>
        <v>8.7099999999627471</v>
      </c>
    </row>
    <row r="23" spans="1:8" ht="55.5" customHeight="1" x14ac:dyDescent="0.25">
      <c r="A23" s="246"/>
      <c r="B23" s="241" t="s">
        <v>482</v>
      </c>
      <c r="C23" s="247"/>
      <c r="D23" s="247"/>
      <c r="E23" s="245">
        <v>199670</v>
      </c>
      <c r="F23" s="244">
        <v>199670</v>
      </c>
      <c r="G23" s="245">
        <f t="shared" si="0"/>
        <v>0</v>
      </c>
    </row>
    <row r="24" spans="1:8" ht="67.5" customHeight="1" x14ac:dyDescent="0.25">
      <c r="A24" s="246"/>
      <c r="B24" s="241" t="s">
        <v>496</v>
      </c>
      <c r="C24" s="247"/>
      <c r="D24" s="247"/>
      <c r="E24" s="245">
        <v>10946</v>
      </c>
      <c r="F24" s="244"/>
      <c r="G24" s="245">
        <f t="shared" si="0"/>
        <v>10946</v>
      </c>
      <c r="H24" t="s">
        <v>497</v>
      </c>
    </row>
    <row r="25" spans="1:8" ht="33.75" customHeight="1" x14ac:dyDescent="0.25">
      <c r="A25" s="246"/>
      <c r="B25" s="241" t="s">
        <v>483</v>
      </c>
      <c r="C25" s="247"/>
      <c r="D25" s="247"/>
      <c r="E25" s="245">
        <v>94922</v>
      </c>
      <c r="F25" s="244">
        <v>94921.84</v>
      </c>
      <c r="G25" s="245">
        <f t="shared" si="0"/>
        <v>0.16000000000349246</v>
      </c>
    </row>
    <row r="26" spans="1:8" ht="64.5" customHeight="1" x14ac:dyDescent="0.25">
      <c r="A26" s="246"/>
      <c r="B26" s="241" t="s">
        <v>484</v>
      </c>
      <c r="C26" s="247"/>
      <c r="D26" s="247"/>
      <c r="E26" s="245">
        <v>59163</v>
      </c>
      <c r="F26" s="244">
        <v>59163</v>
      </c>
      <c r="G26" s="245">
        <f t="shared" si="0"/>
        <v>0</v>
      </c>
    </row>
    <row r="27" spans="1:8" ht="57" customHeight="1" x14ac:dyDescent="0.25">
      <c r="A27" s="246"/>
      <c r="B27" s="241" t="s">
        <v>489</v>
      </c>
      <c r="C27" s="247"/>
      <c r="D27" s="247"/>
      <c r="E27" s="245">
        <v>99420</v>
      </c>
      <c r="F27" s="244">
        <v>99420</v>
      </c>
      <c r="G27" s="245">
        <f t="shared" si="0"/>
        <v>0</v>
      </c>
    </row>
    <row r="28" spans="1:8" ht="35.25" customHeight="1" x14ac:dyDescent="0.25">
      <c r="A28" s="246"/>
      <c r="B28" s="241" t="s">
        <v>485</v>
      </c>
      <c r="C28" s="247"/>
      <c r="D28" s="247"/>
      <c r="E28" s="245">
        <v>82300</v>
      </c>
      <c r="F28" s="244">
        <v>73200</v>
      </c>
      <c r="G28" s="245">
        <f t="shared" si="0"/>
        <v>9100</v>
      </c>
    </row>
    <row r="29" spans="1:8" ht="35.25" customHeight="1" x14ac:dyDescent="0.25">
      <c r="A29" s="246"/>
      <c r="B29" s="241" t="s">
        <v>486</v>
      </c>
      <c r="C29" s="247"/>
      <c r="D29" s="247"/>
      <c r="E29" s="245">
        <v>7050</v>
      </c>
      <c r="F29" s="244">
        <v>7050</v>
      </c>
      <c r="G29" s="245">
        <f t="shared" si="0"/>
        <v>0</v>
      </c>
    </row>
    <row r="30" spans="1:8" ht="19.5" customHeight="1" x14ac:dyDescent="0.25">
      <c r="A30" s="246"/>
      <c r="B30" s="241" t="s">
        <v>487</v>
      </c>
      <c r="C30" s="247"/>
      <c r="D30" s="247"/>
      <c r="E30" s="245">
        <v>5700</v>
      </c>
      <c r="F30" s="244">
        <v>5700</v>
      </c>
      <c r="G30" s="245">
        <f t="shared" si="0"/>
        <v>0</v>
      </c>
    </row>
    <row r="31" spans="1:8" ht="34.5" customHeight="1" x14ac:dyDescent="0.25">
      <c r="A31" s="246"/>
      <c r="B31" s="241" t="s">
        <v>493</v>
      </c>
      <c r="C31" s="247"/>
      <c r="D31" s="247"/>
      <c r="E31" s="245">
        <v>178000</v>
      </c>
      <c r="F31" s="244">
        <v>178000</v>
      </c>
      <c r="G31" s="245">
        <f t="shared" si="0"/>
        <v>0</v>
      </c>
    </row>
    <row r="32" spans="1:8" ht="63" x14ac:dyDescent="0.25">
      <c r="A32" s="246"/>
      <c r="B32" s="241" t="s">
        <v>495</v>
      </c>
      <c r="C32" s="247"/>
      <c r="D32" s="247"/>
      <c r="E32" s="245">
        <v>149937</v>
      </c>
      <c r="F32" s="245">
        <v>149937</v>
      </c>
      <c r="G32" s="245">
        <f t="shared" si="0"/>
        <v>0</v>
      </c>
    </row>
    <row r="33" spans="1:9" x14ac:dyDescent="0.25">
      <c r="A33" s="246"/>
      <c r="B33" s="241" t="s">
        <v>498</v>
      </c>
      <c r="C33" s="247"/>
      <c r="D33" s="247"/>
      <c r="E33" s="245"/>
      <c r="F33" s="245"/>
      <c r="G33" s="245">
        <f t="shared" si="0"/>
        <v>0</v>
      </c>
    </row>
    <row r="34" spans="1:9" x14ac:dyDescent="0.25">
      <c r="A34" s="248"/>
      <c r="B34" s="249" t="s">
        <v>65</v>
      </c>
      <c r="C34" s="128"/>
      <c r="D34" s="128"/>
      <c r="E34" s="250">
        <f>SUM(E9:E33)</f>
        <v>27660591</v>
      </c>
      <c r="F34" s="251">
        <f>SUM(F9:F33)</f>
        <v>26368254.279999997</v>
      </c>
      <c r="G34" s="251">
        <f>SUM(G9:G33)</f>
        <v>1292336.72</v>
      </c>
      <c r="H34" s="102"/>
    </row>
    <row r="35" spans="1:9" x14ac:dyDescent="0.25">
      <c r="A35" s="607">
        <v>117461</v>
      </c>
      <c r="B35" s="608" t="s">
        <v>468</v>
      </c>
      <c r="C35" s="609">
        <v>82</v>
      </c>
      <c r="D35" s="609" t="s">
        <v>68</v>
      </c>
      <c r="E35" s="610">
        <v>1850063</v>
      </c>
      <c r="F35" s="611">
        <v>1701255.49</v>
      </c>
      <c r="G35" s="610">
        <f>E35-F35</f>
        <v>148807.51</v>
      </c>
      <c r="H35" t="s">
        <v>499</v>
      </c>
    </row>
    <row r="36" spans="1:9" ht="47.25" x14ac:dyDescent="0.25">
      <c r="A36" s="252"/>
      <c r="B36" s="253" t="s">
        <v>467</v>
      </c>
      <c r="C36" s="254"/>
      <c r="D36" s="254"/>
      <c r="E36" s="255">
        <v>199627</v>
      </c>
      <c r="F36" s="245">
        <v>199219.24</v>
      </c>
      <c r="G36" s="255">
        <f>E36-F36</f>
        <v>407.76000000000931</v>
      </c>
    </row>
    <row r="37" spans="1:9" ht="47.25" x14ac:dyDescent="0.25">
      <c r="A37" s="252"/>
      <c r="B37" s="253" t="s">
        <v>466</v>
      </c>
      <c r="C37" s="254"/>
      <c r="D37" s="254"/>
      <c r="E37" s="255">
        <v>199953</v>
      </c>
      <c r="F37" s="245">
        <v>199913.92</v>
      </c>
      <c r="G37" s="245">
        <f>E37-F37</f>
        <v>39.079999999987194</v>
      </c>
    </row>
    <row r="38" spans="1:9" x14ac:dyDescent="0.25">
      <c r="A38" s="240"/>
      <c r="B38" s="256" t="s">
        <v>65</v>
      </c>
      <c r="C38" s="127"/>
      <c r="D38" s="127"/>
      <c r="E38" s="251">
        <f>SUM(E35:E37)</f>
        <v>2249643</v>
      </c>
      <c r="F38" s="251">
        <f>SUM(F35:F37)</f>
        <v>2100388.65</v>
      </c>
      <c r="G38" s="251">
        <f>+E38-F38</f>
        <v>149254.35000000009</v>
      </c>
    </row>
    <row r="39" spans="1:9" x14ac:dyDescent="0.25">
      <c r="A39" s="246"/>
      <c r="B39" s="811" t="s">
        <v>15</v>
      </c>
      <c r="C39" s="812"/>
      <c r="D39" s="233"/>
      <c r="E39" s="204">
        <f>E34+E38</f>
        <v>29910234</v>
      </c>
      <c r="F39" s="204">
        <f>F34+F38</f>
        <v>28468642.929999996</v>
      </c>
      <c r="G39" s="204">
        <f>G34+G38</f>
        <v>1441591.07</v>
      </c>
      <c r="H39" s="102"/>
    </row>
    <row r="40" spans="1:9" x14ac:dyDescent="0.25">
      <c r="A40" s="257"/>
      <c r="B40" s="258" t="s">
        <v>35</v>
      </c>
      <c r="C40" s="259"/>
      <c r="D40" s="259"/>
      <c r="E40" s="259"/>
      <c r="F40" s="260">
        <f>F39/E39*100</f>
        <v>95.180274851744713</v>
      </c>
      <c r="G40" s="261" t="s">
        <v>34</v>
      </c>
    </row>
    <row r="41" spans="1:9" ht="10.5" customHeight="1" x14ac:dyDescent="0.25"/>
    <row r="42" spans="1:9" ht="24.75" customHeight="1" x14ac:dyDescent="0.25">
      <c r="A42" s="817" t="s">
        <v>17</v>
      </c>
      <c r="B42" s="818"/>
      <c r="C42" s="818"/>
      <c r="D42" s="818"/>
      <c r="E42" s="818"/>
      <c r="F42" s="818"/>
      <c r="G42" s="818"/>
    </row>
    <row r="43" spans="1:9" ht="49.5" customHeight="1" x14ac:dyDescent="0.25">
      <c r="A43" s="240">
        <v>116030</v>
      </c>
      <c r="B43" s="593" t="s">
        <v>480</v>
      </c>
      <c r="C43" s="3"/>
      <c r="D43" s="3"/>
      <c r="E43" s="394">
        <v>1200000</v>
      </c>
      <c r="F43" s="394">
        <v>1168500</v>
      </c>
      <c r="G43" s="29">
        <f>E43-F43</f>
        <v>31500</v>
      </c>
      <c r="H43" s="265"/>
      <c r="I43" s="266"/>
    </row>
    <row r="44" spans="1:9" ht="30" customHeight="1" x14ac:dyDescent="0.25">
      <c r="A44" s="240"/>
      <c r="B44" s="3" t="s">
        <v>494</v>
      </c>
      <c r="C44" s="3"/>
      <c r="D44" s="3"/>
      <c r="E44" s="394">
        <v>37000</v>
      </c>
      <c r="F44" s="394">
        <v>37000</v>
      </c>
      <c r="G44" s="29">
        <f>E44-F44</f>
        <v>0</v>
      </c>
      <c r="H44" s="265"/>
      <c r="I44" s="266"/>
    </row>
    <row r="45" spans="1:9" ht="33.75" customHeight="1" x14ac:dyDescent="0.25">
      <c r="A45" s="240"/>
      <c r="B45" s="3"/>
      <c r="C45" s="3"/>
      <c r="D45" s="3"/>
      <c r="E45" s="394"/>
      <c r="F45" s="394"/>
      <c r="G45" s="29">
        <f>E45-F45</f>
        <v>0</v>
      </c>
      <c r="H45" s="265"/>
      <c r="I45" s="266"/>
    </row>
    <row r="46" spans="1:9" ht="50.25" customHeight="1" x14ac:dyDescent="0.25">
      <c r="A46" s="240"/>
      <c r="B46" s="3"/>
      <c r="C46" s="3"/>
      <c r="D46" s="3"/>
      <c r="E46" s="394"/>
      <c r="F46" s="394"/>
      <c r="G46" s="29">
        <f>E46-F46</f>
        <v>0</v>
      </c>
      <c r="H46" s="265"/>
      <c r="I46" s="266"/>
    </row>
    <row r="47" spans="1:9" ht="24.75" hidden="1" customHeight="1" x14ac:dyDescent="0.25">
      <c r="A47" s="78"/>
      <c r="B47" s="185" t="s">
        <v>36</v>
      </c>
      <c r="C47" s="185"/>
      <c r="D47" s="185"/>
      <c r="E47" s="395"/>
      <c r="F47" s="395"/>
      <c r="G47" s="85">
        <f>SUM(G43:G43)</f>
        <v>31500</v>
      </c>
      <c r="H47" s="265"/>
      <c r="I47" s="266"/>
    </row>
    <row r="48" spans="1:9" ht="24.75" customHeight="1" x14ac:dyDescent="0.25">
      <c r="A48" s="39"/>
      <c r="B48" s="236" t="s">
        <v>18</v>
      </c>
      <c r="C48" s="236"/>
      <c r="D48" s="236"/>
      <c r="E48" s="396">
        <f>SUM(E43:E47)</f>
        <v>1237000</v>
      </c>
      <c r="F48" s="396">
        <f>SUM(F43:F47)</f>
        <v>1205500</v>
      </c>
      <c r="G48" s="33">
        <f>+E48-F48</f>
        <v>31500</v>
      </c>
      <c r="H48" s="265"/>
      <c r="I48" s="266"/>
    </row>
    <row r="49" spans="1:9" ht="24.75" customHeight="1" x14ac:dyDescent="0.25">
      <c r="A49" s="39"/>
      <c r="B49" s="236" t="s">
        <v>37</v>
      </c>
      <c r="C49" s="236"/>
      <c r="D49" s="236"/>
      <c r="E49" s="33">
        <f>+E39+E48</f>
        <v>31147234</v>
      </c>
      <c r="F49" s="33">
        <f>+F39+F48</f>
        <v>29674142.929999996</v>
      </c>
      <c r="G49" s="33">
        <f>+E49-F49</f>
        <v>1473091.070000004</v>
      </c>
      <c r="H49" s="265"/>
      <c r="I49" s="266"/>
    </row>
    <row r="50" spans="1:9" ht="24.75" customHeight="1" x14ac:dyDescent="0.25">
      <c r="A50" s="39"/>
      <c r="B50" s="442" t="s">
        <v>35</v>
      </c>
      <c r="C50" s="442"/>
      <c r="D50" s="442"/>
      <c r="E50" s="64"/>
      <c r="F50" s="66">
        <f>F49/E49*100</f>
        <v>95.270555741803577</v>
      </c>
      <c r="G50" s="64" t="s">
        <v>34</v>
      </c>
      <c r="H50" s="265"/>
      <c r="I50" s="266"/>
    </row>
    <row r="51" spans="1:9" ht="10.5" customHeight="1" x14ac:dyDescent="0.25"/>
    <row r="52" spans="1:9" ht="10.5" customHeight="1" x14ac:dyDescent="0.25"/>
    <row r="53" spans="1:9" ht="10.5" customHeight="1" x14ac:dyDescent="0.25"/>
    <row r="54" spans="1:9" ht="10.5" customHeight="1" x14ac:dyDescent="0.25"/>
    <row r="55" spans="1:9" ht="18.75" customHeight="1" x14ac:dyDescent="0.25">
      <c r="A55" s="815" t="s">
        <v>394</v>
      </c>
      <c r="B55" s="815"/>
      <c r="C55" s="815"/>
      <c r="D55" s="815"/>
      <c r="E55" s="815"/>
      <c r="F55" s="815"/>
      <c r="G55" s="815"/>
    </row>
    <row r="56" spans="1:9" x14ac:dyDescent="0.25">
      <c r="E56" s="265"/>
    </row>
    <row r="57" spans="1:9" x14ac:dyDescent="0.25">
      <c r="A57" s="262" t="s">
        <v>178</v>
      </c>
      <c r="C57" s="299"/>
      <c r="D57" s="299"/>
      <c r="E57" s="265"/>
      <c r="F57" s="266" t="s">
        <v>174</v>
      </c>
      <c r="G57" s="300" t="s">
        <v>175</v>
      </c>
    </row>
  </sheetData>
  <mergeCells count="7">
    <mergeCell ref="B39:C39"/>
    <mergeCell ref="A5:G5"/>
    <mergeCell ref="A4:G4"/>
    <mergeCell ref="A6:G6"/>
    <mergeCell ref="A55:G55"/>
    <mergeCell ref="A7:D7"/>
    <mergeCell ref="A42:G42"/>
  </mergeCells>
  <phoneticPr fontId="21" type="noConversion"/>
  <pageMargins left="0.39370078740157483" right="0.39370078740157483" top="0.74803149606299213" bottom="0.74803149606299213" header="0.31496062992125984" footer="0.31496062992125984"/>
  <pageSetup paperSize="9" scale="98" fitToHeight="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2"/>
  <sheetViews>
    <sheetView workbookViewId="0">
      <selection activeCell="I9" sqref="I9"/>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x14ac:dyDescent="0.25">
      <c r="E1" s="631" t="s">
        <v>631</v>
      </c>
      <c r="F1" s="631"/>
    </row>
    <row r="2" spans="1:10" ht="15.75" x14ac:dyDescent="0.25">
      <c r="E2" t="s">
        <v>171</v>
      </c>
      <c r="F2" s="1"/>
    </row>
    <row r="3" spans="1:10" ht="15.75" x14ac:dyDescent="0.25">
      <c r="B3" s="17"/>
      <c r="C3" s="17"/>
      <c r="D3" s="17"/>
      <c r="E3" t="s">
        <v>632</v>
      </c>
      <c r="F3" s="1"/>
    </row>
    <row r="4" spans="1:10" ht="15.75" customHeight="1" x14ac:dyDescent="0.25">
      <c r="A4" s="650" t="s">
        <v>122</v>
      </c>
      <c r="B4" s="650"/>
      <c r="C4" s="650"/>
      <c r="D4" s="650"/>
      <c r="E4" s="650"/>
      <c r="F4" s="650"/>
    </row>
    <row r="5" spans="1:10" ht="34.5" customHeight="1" x14ac:dyDescent="0.25">
      <c r="A5" s="626" t="s">
        <v>418</v>
      </c>
      <c r="B5" s="626"/>
      <c r="C5" s="626"/>
      <c r="D5" s="626"/>
      <c r="E5" s="626"/>
      <c r="F5" s="626"/>
    </row>
    <row r="6" spans="1:10" ht="309" customHeight="1" x14ac:dyDescent="0.25">
      <c r="A6" s="647" t="s">
        <v>136</v>
      </c>
      <c r="B6" s="647"/>
      <c r="C6" s="647"/>
      <c r="D6" s="647"/>
      <c r="E6" s="647"/>
      <c r="F6" s="647"/>
    </row>
    <row r="7" spans="1:10" ht="16.5" x14ac:dyDescent="0.25">
      <c r="A7" s="796" t="s">
        <v>283</v>
      </c>
      <c r="B7" s="796"/>
      <c r="C7" s="796"/>
      <c r="D7" s="207">
        <f>E17</f>
        <v>1898878</v>
      </c>
      <c r="E7" s="92" t="s">
        <v>32</v>
      </c>
      <c r="F7" s="187"/>
      <c r="J7" s="194"/>
    </row>
    <row r="8" spans="1:10" ht="15.75" customHeight="1" x14ac:dyDescent="0.25">
      <c r="C8" s="1"/>
      <c r="D8" s="1"/>
      <c r="E8" s="1"/>
      <c r="F8" s="1"/>
      <c r="J8" s="194"/>
    </row>
    <row r="9" spans="1:10" ht="31.5" x14ac:dyDescent="0.25">
      <c r="A9" s="95" t="s">
        <v>22</v>
      </c>
      <c r="B9" s="40" t="s">
        <v>12</v>
      </c>
      <c r="C9" s="10" t="s">
        <v>10</v>
      </c>
      <c r="D9" s="10" t="s">
        <v>1</v>
      </c>
      <c r="E9" s="10" t="s">
        <v>11</v>
      </c>
      <c r="F9" s="10" t="s">
        <v>5</v>
      </c>
      <c r="J9" s="194"/>
    </row>
    <row r="10" spans="1:10" ht="99.75" customHeight="1" x14ac:dyDescent="0.25">
      <c r="A10" s="39">
        <v>117350</v>
      </c>
      <c r="B10" s="133" t="s">
        <v>420</v>
      </c>
      <c r="C10" s="13">
        <v>1</v>
      </c>
      <c r="D10" s="8">
        <v>0</v>
      </c>
      <c r="E10" s="6">
        <v>0</v>
      </c>
      <c r="F10" s="16">
        <f>D10-E10</f>
        <v>0</v>
      </c>
      <c r="J10" s="194"/>
    </row>
    <row r="11" spans="1:10" ht="51.75" customHeight="1" x14ac:dyDescent="0.25">
      <c r="A11" s="39"/>
      <c r="B11" s="133" t="s">
        <v>421</v>
      </c>
      <c r="C11" s="13">
        <v>1</v>
      </c>
      <c r="D11" s="8">
        <v>1184994</v>
      </c>
      <c r="E11" s="598">
        <v>1184994</v>
      </c>
      <c r="F11" s="16">
        <f t="shared" ref="F11:F13" si="0">D11-E11</f>
        <v>0</v>
      </c>
      <c r="J11" s="194"/>
    </row>
    <row r="12" spans="1:10" ht="189" customHeight="1" x14ac:dyDescent="0.25">
      <c r="A12" s="39"/>
      <c r="B12" s="133" t="s">
        <v>422</v>
      </c>
      <c r="C12" s="13">
        <v>1</v>
      </c>
      <c r="D12" s="8">
        <v>706884</v>
      </c>
      <c r="E12" s="8">
        <v>706884</v>
      </c>
      <c r="F12" s="16">
        <f t="shared" si="0"/>
        <v>0</v>
      </c>
      <c r="J12" s="194"/>
    </row>
    <row r="13" spans="1:10" ht="78.75" x14ac:dyDescent="0.25">
      <c r="A13" s="39"/>
      <c r="B13" s="133" t="s">
        <v>423</v>
      </c>
      <c r="C13" s="13">
        <v>1</v>
      </c>
      <c r="D13" s="8">
        <v>18000</v>
      </c>
      <c r="E13" s="6">
        <v>0</v>
      </c>
      <c r="F13" s="16">
        <f t="shared" si="0"/>
        <v>18000</v>
      </c>
      <c r="J13" s="194"/>
    </row>
    <row r="14" spans="1:10" ht="47.25" x14ac:dyDescent="0.25">
      <c r="A14" s="39">
        <v>117650</v>
      </c>
      <c r="B14" s="133" t="s">
        <v>441</v>
      </c>
      <c r="C14" s="13">
        <v>1</v>
      </c>
      <c r="D14" s="8">
        <v>25886.31</v>
      </c>
      <c r="E14" s="6">
        <v>7000</v>
      </c>
      <c r="F14" s="16">
        <f>D14-E14</f>
        <v>18886.310000000001</v>
      </c>
      <c r="J14" s="194"/>
    </row>
    <row r="15" spans="1:10" ht="16.5" hidden="1" x14ac:dyDescent="0.25">
      <c r="A15" s="39"/>
      <c r="B15" s="133"/>
      <c r="C15" s="13"/>
      <c r="D15" s="8"/>
      <c r="E15" s="6"/>
      <c r="F15" s="16">
        <f t="shared" ref="F15:F17" si="1">D15-E15</f>
        <v>0</v>
      </c>
      <c r="J15" s="194"/>
    </row>
    <row r="16" spans="1:10" ht="16.5" hidden="1" x14ac:dyDescent="0.25">
      <c r="A16" s="39"/>
      <c r="B16" s="133"/>
      <c r="C16" s="13"/>
      <c r="D16" s="8"/>
      <c r="E16" s="6"/>
      <c r="F16" s="16">
        <f t="shared" si="1"/>
        <v>0</v>
      </c>
      <c r="J16" s="194"/>
    </row>
    <row r="17" spans="1:10" ht="16.5" x14ac:dyDescent="0.25">
      <c r="A17" s="39"/>
      <c r="B17" s="134" t="s">
        <v>3</v>
      </c>
      <c r="C17" s="5"/>
      <c r="D17" s="441">
        <f>SUM(D10:D14)</f>
        <v>1935764.31</v>
      </c>
      <c r="E17" s="441">
        <f>SUM(E10:E14)</f>
        <v>1898878</v>
      </c>
      <c r="F17" s="601">
        <f t="shared" si="1"/>
        <v>36886.310000000056</v>
      </c>
      <c r="J17" s="194"/>
    </row>
    <row r="18" spans="1:10" ht="16.5" x14ac:dyDescent="0.25">
      <c r="A18" s="68"/>
      <c r="B18" s="62" t="s">
        <v>33</v>
      </c>
      <c r="C18" s="55"/>
      <c r="D18" s="55"/>
      <c r="E18" s="69">
        <f>E17/D17*100</f>
        <v>98.094483413634165</v>
      </c>
      <c r="F18" s="67" t="s">
        <v>34</v>
      </c>
      <c r="J18" s="194"/>
    </row>
    <row r="19" spans="1:10" ht="16.5" x14ac:dyDescent="0.25">
      <c r="J19" s="194"/>
    </row>
    <row r="20" spans="1:10" ht="37.5" customHeight="1" x14ac:dyDescent="0.25">
      <c r="A20" s="647" t="s">
        <v>419</v>
      </c>
      <c r="B20" s="647"/>
      <c r="C20" s="647"/>
      <c r="D20" s="647"/>
      <c r="E20" s="647"/>
      <c r="F20" s="647"/>
      <c r="J20" s="194"/>
    </row>
    <row r="22" spans="1:10" x14ac:dyDescent="0.25">
      <c r="A22" t="s">
        <v>173</v>
      </c>
      <c r="D22" s="303"/>
      <c r="E22" s="149" t="s">
        <v>174</v>
      </c>
      <c r="F22" t="s">
        <v>175</v>
      </c>
    </row>
  </sheetData>
  <mergeCells count="6">
    <mergeCell ref="E1:F1"/>
    <mergeCell ref="A20:F20"/>
    <mergeCell ref="A5:F5"/>
    <mergeCell ref="A4:F4"/>
    <mergeCell ref="A6:F6"/>
    <mergeCell ref="A7:C7"/>
  </mergeCells>
  <pageMargins left="0.39370078740157483" right="0.39370078740157483"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3"/>
  <sheetViews>
    <sheetView workbookViewId="0">
      <selection activeCell="J9" sqref="J9"/>
    </sheetView>
  </sheetViews>
  <sheetFormatPr defaultRowHeight="15.75" x14ac:dyDescent="0.25"/>
  <cols>
    <col min="1" max="1" width="7.140625" customWidth="1"/>
    <col min="2" max="2" width="33.28515625" style="15" customWidth="1"/>
    <col min="3" max="3" width="14.5703125" style="15" customWidth="1"/>
    <col min="4" max="4" width="13.5703125" style="24" customWidth="1"/>
    <col min="5" max="5" width="15.28515625" style="15" customWidth="1"/>
  </cols>
  <sheetData>
    <row r="1" spans="1:5" x14ac:dyDescent="0.25">
      <c r="D1" s="631" t="s">
        <v>633</v>
      </c>
      <c r="E1" s="631"/>
    </row>
    <row r="2" spans="1:5" x14ac:dyDescent="0.25">
      <c r="D2" t="s">
        <v>171</v>
      </c>
      <c r="E2" s="1"/>
    </row>
    <row r="3" spans="1:5" x14ac:dyDescent="0.25">
      <c r="C3" s="1"/>
      <c r="D3" t="s">
        <v>606</v>
      </c>
      <c r="E3" s="1"/>
    </row>
    <row r="4" spans="1:5" x14ac:dyDescent="0.25">
      <c r="A4" s="633" t="s">
        <v>122</v>
      </c>
      <c r="B4" s="633"/>
      <c r="C4" s="633"/>
      <c r="D4" s="633"/>
      <c r="E4" s="633"/>
    </row>
    <row r="5" spans="1:5" ht="51.75" customHeight="1" x14ac:dyDescent="0.25">
      <c r="A5" s="626" t="s">
        <v>424</v>
      </c>
      <c r="B5" s="626"/>
      <c r="C5" s="626"/>
      <c r="D5" s="626"/>
      <c r="E5" s="626"/>
    </row>
    <row r="6" spans="1:5" ht="181.5" customHeight="1" x14ac:dyDescent="0.25">
      <c r="A6" s="647" t="s">
        <v>426</v>
      </c>
      <c r="B6" s="647"/>
      <c r="C6" s="647"/>
      <c r="D6" s="647"/>
      <c r="E6" s="647"/>
    </row>
    <row r="7" spans="1:5" x14ac:dyDescent="0.25">
      <c r="A7" s="646" t="s">
        <v>283</v>
      </c>
      <c r="B7" s="646"/>
      <c r="C7" s="646"/>
      <c r="D7" s="646"/>
      <c r="E7" s="646"/>
    </row>
    <row r="8" spans="1:5" x14ac:dyDescent="0.25">
      <c r="B8" s="151" t="s">
        <v>28</v>
      </c>
      <c r="C8" s="53">
        <f>D18</f>
        <v>57528</v>
      </c>
      <c r="D8" s="93" t="s">
        <v>32</v>
      </c>
      <c r="E8" s="151"/>
    </row>
    <row r="9" spans="1:5" ht="18.75" customHeight="1" x14ac:dyDescent="0.25">
      <c r="B9" s="154"/>
      <c r="C9" s="52"/>
      <c r="D9" s="92"/>
      <c r="E9" s="153"/>
    </row>
    <row r="10" spans="1:5" ht="30.75" customHeight="1" x14ac:dyDescent="0.25">
      <c r="A10" s="95" t="s">
        <v>22</v>
      </c>
      <c r="B10" s="10" t="s">
        <v>80</v>
      </c>
      <c r="C10" s="10" t="s">
        <v>1</v>
      </c>
      <c r="D10" s="109" t="s">
        <v>9</v>
      </c>
      <c r="E10" s="10" t="s">
        <v>5</v>
      </c>
    </row>
    <row r="11" spans="1:5" x14ac:dyDescent="0.25">
      <c r="B11" s="653" t="s">
        <v>16</v>
      </c>
      <c r="C11" s="654"/>
      <c r="D11" s="654"/>
      <c r="E11" s="655"/>
    </row>
    <row r="12" spans="1:5" ht="68.25" customHeight="1" x14ac:dyDescent="0.25">
      <c r="A12" s="157">
        <v>111142</v>
      </c>
      <c r="B12" s="98" t="s">
        <v>104</v>
      </c>
      <c r="C12" s="6">
        <v>57528</v>
      </c>
      <c r="D12" s="6">
        <v>57528</v>
      </c>
      <c r="E12" s="6">
        <f>+C12-D12</f>
        <v>0</v>
      </c>
    </row>
    <row r="13" spans="1:5" x14ac:dyDescent="0.25">
      <c r="A13" s="39"/>
      <c r="B13" s="3" t="s">
        <v>233</v>
      </c>
      <c r="C13" s="6">
        <v>19176</v>
      </c>
      <c r="D13" s="6">
        <v>19176</v>
      </c>
      <c r="E13" s="6">
        <f>+C13-D13</f>
        <v>0</v>
      </c>
    </row>
    <row r="14" spans="1:5" hidden="1" x14ac:dyDescent="0.25">
      <c r="A14" s="39"/>
      <c r="B14" s="3" t="s">
        <v>51</v>
      </c>
      <c r="C14" s="6"/>
      <c r="D14" s="6"/>
      <c r="E14" s="6">
        <f t="shared" ref="E14:E17" si="0">+C14-D14</f>
        <v>0</v>
      </c>
    </row>
    <row r="15" spans="1:5" hidden="1" x14ac:dyDescent="0.25">
      <c r="A15" s="39"/>
      <c r="B15" s="3" t="s">
        <v>234</v>
      </c>
      <c r="C15" s="6"/>
      <c r="D15" s="6"/>
      <c r="E15" s="6">
        <f t="shared" si="0"/>
        <v>0</v>
      </c>
    </row>
    <row r="16" spans="1:5" hidden="1" x14ac:dyDescent="0.25">
      <c r="A16" s="39"/>
      <c r="B16" s="74" t="s">
        <v>191</v>
      </c>
      <c r="C16" s="6"/>
      <c r="D16" s="6"/>
      <c r="E16" s="6">
        <f t="shared" si="0"/>
        <v>0</v>
      </c>
    </row>
    <row r="17" spans="1:5" x14ac:dyDescent="0.25">
      <c r="A17" s="39"/>
      <c r="B17" s="74" t="s">
        <v>53</v>
      </c>
      <c r="C17" s="6">
        <v>38352</v>
      </c>
      <c r="D17" s="6">
        <v>38352</v>
      </c>
      <c r="E17" s="6">
        <f t="shared" si="0"/>
        <v>0</v>
      </c>
    </row>
    <row r="18" spans="1:5" x14ac:dyDescent="0.25">
      <c r="A18" s="39"/>
      <c r="B18" s="152" t="s">
        <v>36</v>
      </c>
      <c r="C18" s="33">
        <f>+C12</f>
        <v>57528</v>
      </c>
      <c r="D18" s="33">
        <f>+D12</f>
        <v>57528</v>
      </c>
      <c r="E18" s="33">
        <f>C18-D18</f>
        <v>0</v>
      </c>
    </row>
    <row r="19" spans="1:5" x14ac:dyDescent="0.25">
      <c r="A19" s="59"/>
      <c r="B19" s="61" t="s">
        <v>35</v>
      </c>
      <c r="C19" s="63"/>
      <c r="D19" s="65">
        <f>D18/C18*100</f>
        <v>100</v>
      </c>
      <c r="E19" s="64" t="s">
        <v>34</v>
      </c>
    </row>
    <row r="20" spans="1:5" x14ac:dyDescent="0.25">
      <c r="B20" s="647"/>
      <c r="C20" s="647"/>
      <c r="D20" s="647"/>
      <c r="E20" s="647"/>
    </row>
    <row r="21" spans="1:5" ht="17.25" customHeight="1" x14ac:dyDescent="0.25">
      <c r="A21" s="635" t="s">
        <v>425</v>
      </c>
      <c r="B21" s="635"/>
      <c r="C21" s="635"/>
      <c r="D21" s="635"/>
      <c r="E21" s="635"/>
    </row>
    <row r="22" spans="1:5" ht="39" customHeight="1" x14ac:dyDescent="0.25"/>
    <row r="23" spans="1:5" ht="15" x14ac:dyDescent="0.25">
      <c r="A23" t="s">
        <v>173</v>
      </c>
      <c r="B23"/>
      <c r="C23" s="303"/>
      <c r="D23" s="149" t="s">
        <v>174</v>
      </c>
      <c r="E23" t="s">
        <v>175</v>
      </c>
    </row>
  </sheetData>
  <mergeCells count="8">
    <mergeCell ref="D1:E1"/>
    <mergeCell ref="A21:E21"/>
    <mergeCell ref="A4:E4"/>
    <mergeCell ref="A5:E5"/>
    <mergeCell ref="A6:E6"/>
    <mergeCell ref="A7:E7"/>
    <mergeCell ref="B11:E11"/>
    <mergeCell ref="B20:E20"/>
  </mergeCells>
  <pageMargins left="0.39370078740157483" right="0.39370078740157483"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39"/>
  <sheetViews>
    <sheetView view="pageBreakPreview" zoomScale="60" zoomScaleNormal="100" workbookViewId="0">
      <selection activeCell="I7" sqref="I7"/>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631" t="s">
        <v>634</v>
      </c>
      <c r="E1" s="631"/>
    </row>
    <row r="2" spans="1:7" ht="15.75" x14ac:dyDescent="0.25">
      <c r="D2" t="s">
        <v>171</v>
      </c>
      <c r="E2" s="1"/>
    </row>
    <row r="3" spans="1:7" ht="17.25" x14ac:dyDescent="0.25">
      <c r="A3" s="42"/>
      <c r="B3" s="38"/>
      <c r="C3" s="15"/>
      <c r="D3" t="s">
        <v>586</v>
      </c>
      <c r="E3" s="1"/>
    </row>
    <row r="4" spans="1:7" ht="15.75" x14ac:dyDescent="0.25">
      <c r="A4" s="650" t="s">
        <v>122</v>
      </c>
      <c r="B4" s="650"/>
      <c r="C4" s="650"/>
      <c r="D4" s="650"/>
      <c r="E4" s="650"/>
    </row>
    <row r="5" spans="1:7" ht="15.75" x14ac:dyDescent="0.25">
      <c r="A5" s="650" t="s">
        <v>429</v>
      </c>
      <c r="B5" s="650"/>
      <c r="C5" s="650"/>
      <c r="D5" s="650"/>
      <c r="E5" s="650"/>
    </row>
    <row r="6" spans="1:7" ht="15.75" customHeight="1" x14ac:dyDescent="0.25">
      <c r="A6" s="773"/>
      <c r="B6" s="773"/>
      <c r="C6" s="773"/>
      <c r="D6" s="773"/>
      <c r="E6" s="773"/>
    </row>
    <row r="7" spans="1:7" ht="232.5" customHeight="1" x14ac:dyDescent="0.25">
      <c r="A7" s="647" t="s">
        <v>252</v>
      </c>
      <c r="B7" s="647"/>
      <c r="C7" s="647"/>
      <c r="D7" s="647"/>
      <c r="E7" s="647"/>
    </row>
    <row r="8" spans="1:7" ht="69.75" customHeight="1" x14ac:dyDescent="0.25">
      <c r="A8" s="647" t="s">
        <v>253</v>
      </c>
      <c r="B8" s="647"/>
      <c r="C8" s="647"/>
      <c r="D8" s="647"/>
      <c r="E8" s="647"/>
    </row>
    <row r="9" spans="1:7" ht="15.75" x14ac:dyDescent="0.25">
      <c r="A9" s="796" t="s">
        <v>283</v>
      </c>
      <c r="B9" s="796"/>
      <c r="C9" s="796"/>
      <c r="D9" s="589">
        <f>+C10+C11</f>
        <v>1560468</v>
      </c>
      <c r="E9" s="397" t="s">
        <v>32</v>
      </c>
      <c r="F9" s="47"/>
      <c r="G9" s="47"/>
    </row>
    <row r="10" spans="1:7" ht="15.75" x14ac:dyDescent="0.25">
      <c r="A10" s="452"/>
      <c r="B10" s="451" t="s">
        <v>28</v>
      </c>
      <c r="C10" s="443">
        <f>+D22</f>
        <v>562588</v>
      </c>
      <c r="D10" s="397" t="s">
        <v>32</v>
      </c>
      <c r="E10" s="47"/>
      <c r="F10" s="47"/>
      <c r="G10" s="47"/>
    </row>
    <row r="11" spans="1:7" ht="15.75" x14ac:dyDescent="0.25">
      <c r="A11" s="452"/>
      <c r="B11" s="450" t="s">
        <v>29</v>
      </c>
      <c r="C11" s="389">
        <f>+D33</f>
        <v>997880</v>
      </c>
      <c r="D11" s="397" t="s">
        <v>32</v>
      </c>
      <c r="E11" s="47"/>
      <c r="F11" s="47"/>
      <c r="G11" s="47"/>
    </row>
    <row r="12" spans="1:7" ht="15.75" customHeight="1" x14ac:dyDescent="0.25">
      <c r="A12" s="191"/>
      <c r="B12" s="191"/>
      <c r="C12" s="191"/>
      <c r="D12" s="191"/>
      <c r="E12" s="191"/>
    </row>
    <row r="13" spans="1:7" ht="15.75" x14ac:dyDescent="0.25">
      <c r="A13" s="43" t="s">
        <v>22</v>
      </c>
      <c r="B13" s="10" t="s">
        <v>12</v>
      </c>
      <c r="C13" s="10" t="s">
        <v>1</v>
      </c>
      <c r="D13" s="10" t="s">
        <v>11</v>
      </c>
      <c r="E13" s="10" t="s">
        <v>5</v>
      </c>
    </row>
    <row r="14" spans="1:7" ht="18" customHeight="1" x14ac:dyDescent="0.25">
      <c r="A14" s="34">
        <v>118230</v>
      </c>
      <c r="B14" s="599" t="s">
        <v>433</v>
      </c>
      <c r="C14" s="35">
        <v>25470</v>
      </c>
      <c r="D14" s="36">
        <v>25438</v>
      </c>
      <c r="E14" s="37">
        <f>+C14-D14</f>
        <v>32</v>
      </c>
    </row>
    <row r="15" spans="1:7" ht="39.75" customHeight="1" x14ac:dyDescent="0.25">
      <c r="A15" s="44"/>
      <c r="B15" s="97" t="s">
        <v>435</v>
      </c>
      <c r="C15" s="35">
        <v>31250</v>
      </c>
      <c r="D15" s="36"/>
      <c r="E15" s="37">
        <f t="shared" ref="E15:E20" si="0">+C15-D15</f>
        <v>31250</v>
      </c>
    </row>
    <row r="16" spans="1:7" ht="54" customHeight="1" x14ac:dyDescent="0.25">
      <c r="A16" s="44"/>
      <c r="B16" s="97" t="s">
        <v>439</v>
      </c>
      <c r="C16" s="35">
        <v>38000</v>
      </c>
      <c r="D16" s="36">
        <v>37900</v>
      </c>
      <c r="E16" s="37">
        <f t="shared" si="0"/>
        <v>100</v>
      </c>
    </row>
    <row r="17" spans="1:5" ht="15.75" x14ac:dyDescent="0.25">
      <c r="A17" s="44"/>
      <c r="B17" s="185" t="s">
        <v>36</v>
      </c>
      <c r="C17" s="35">
        <f>SUM(C14:C16)</f>
        <v>94720</v>
      </c>
      <c r="D17" s="35">
        <f t="shared" ref="D17:E17" si="1">SUM(D14:D16)</f>
        <v>63338</v>
      </c>
      <c r="E17" s="35">
        <f t="shared" si="1"/>
        <v>31382</v>
      </c>
    </row>
    <row r="18" spans="1:5" ht="15.75" x14ac:dyDescent="0.25">
      <c r="A18" s="44">
        <v>3719800</v>
      </c>
      <c r="B18" s="585"/>
      <c r="C18" s="35"/>
      <c r="D18" s="36"/>
      <c r="E18" s="37"/>
    </row>
    <row r="19" spans="1:5" ht="66.75" customHeight="1" x14ac:dyDescent="0.25">
      <c r="A19" s="44"/>
      <c r="B19" s="97" t="s">
        <v>431</v>
      </c>
      <c r="C19" s="35">
        <v>364250</v>
      </c>
      <c r="D19" s="36">
        <v>364250</v>
      </c>
      <c r="E19" s="37">
        <f t="shared" si="0"/>
        <v>0</v>
      </c>
    </row>
    <row r="20" spans="1:5" ht="34.5" customHeight="1" x14ac:dyDescent="0.25">
      <c r="A20" s="44"/>
      <c r="B20" s="97" t="s">
        <v>432</v>
      </c>
      <c r="C20" s="35">
        <v>135000</v>
      </c>
      <c r="D20" s="36">
        <v>135000</v>
      </c>
      <c r="E20" s="37">
        <f t="shared" si="0"/>
        <v>0</v>
      </c>
    </row>
    <row r="21" spans="1:5" ht="34.5" customHeight="1" x14ac:dyDescent="0.25">
      <c r="A21" s="44"/>
      <c r="B21" s="185" t="s">
        <v>36</v>
      </c>
      <c r="C21" s="48">
        <f>SUM(C19:C20)</f>
        <v>499250</v>
      </c>
      <c r="D21" s="48">
        <f t="shared" ref="D21:E21" si="2">SUM(D19:D20)</f>
        <v>499250</v>
      </c>
      <c r="E21" s="48">
        <f t="shared" si="2"/>
        <v>0</v>
      </c>
    </row>
    <row r="22" spans="1:5" ht="15.75" x14ac:dyDescent="0.25">
      <c r="A22" s="44"/>
      <c r="B22" s="5" t="s">
        <v>436</v>
      </c>
      <c r="C22" s="48">
        <f>+C17+C21</f>
        <v>593970</v>
      </c>
      <c r="D22" s="48">
        <f>+D17+D21</f>
        <v>562588</v>
      </c>
      <c r="E22" s="215">
        <f>C22-D22</f>
        <v>31382</v>
      </c>
    </row>
    <row r="23" spans="1:5" ht="15.75" x14ac:dyDescent="0.25">
      <c r="A23" s="44"/>
      <c r="B23" s="144" t="s">
        <v>35</v>
      </c>
      <c r="C23" s="35"/>
      <c r="D23" s="137">
        <f>D22/C22*100</f>
        <v>94.71656817684395</v>
      </c>
      <c r="E23" s="145" t="s">
        <v>34</v>
      </c>
    </row>
    <row r="25" spans="1:5" ht="15.75" x14ac:dyDescent="0.25">
      <c r="A25" s="715" t="s">
        <v>17</v>
      </c>
      <c r="B25" s="715"/>
      <c r="C25" s="715"/>
      <c r="D25" s="715"/>
      <c r="E25" s="715"/>
    </row>
    <row r="26" spans="1:5" ht="16.5" x14ac:dyDescent="0.25">
      <c r="A26" s="34">
        <v>118230</v>
      </c>
      <c r="B26" s="592" t="s">
        <v>434</v>
      </c>
      <c r="C26" s="394">
        <v>40000</v>
      </c>
      <c r="D26" s="394">
        <v>0</v>
      </c>
      <c r="E26" s="29">
        <f>C26-D26</f>
        <v>40000</v>
      </c>
    </row>
    <row r="27" spans="1:5" ht="15.75" x14ac:dyDescent="0.25">
      <c r="A27" s="531"/>
      <c r="B27" s="3" t="s">
        <v>437</v>
      </c>
      <c r="C27" s="394">
        <v>24000</v>
      </c>
      <c r="D27" s="394">
        <v>24000</v>
      </c>
      <c r="E27" s="29"/>
    </row>
    <row r="28" spans="1:5" ht="15.75" x14ac:dyDescent="0.25">
      <c r="A28" s="531"/>
      <c r="B28" s="3" t="s">
        <v>438</v>
      </c>
      <c r="C28" s="394">
        <v>23880</v>
      </c>
      <c r="D28" s="394">
        <v>23880</v>
      </c>
      <c r="E28" s="29"/>
    </row>
    <row r="29" spans="1:5" ht="15.75" x14ac:dyDescent="0.25">
      <c r="A29" s="531"/>
      <c r="B29" s="185" t="s">
        <v>36</v>
      </c>
      <c r="C29" s="396">
        <f>SUM(C26:C28)</f>
        <v>87880</v>
      </c>
      <c r="D29" s="396">
        <f t="shared" ref="D29:E29" si="3">SUM(D26:D28)</f>
        <v>47880</v>
      </c>
      <c r="E29" s="396">
        <f t="shared" si="3"/>
        <v>40000</v>
      </c>
    </row>
    <row r="30" spans="1:5" ht="15.75" x14ac:dyDescent="0.25">
      <c r="A30" s="44">
        <v>3719800</v>
      </c>
      <c r="B30" s="3"/>
      <c r="C30" s="394"/>
      <c r="D30" s="394"/>
      <c r="E30" s="29"/>
    </row>
    <row r="31" spans="1:5" ht="33" x14ac:dyDescent="0.25">
      <c r="A31" s="44"/>
      <c r="B31" s="593" t="s">
        <v>440</v>
      </c>
      <c r="C31" s="394">
        <v>950000</v>
      </c>
      <c r="D31" s="394">
        <v>950000</v>
      </c>
      <c r="E31" s="29"/>
    </row>
    <row r="32" spans="1:5" ht="15.75" x14ac:dyDescent="0.25">
      <c r="A32" s="531"/>
      <c r="B32" s="185" t="s">
        <v>36</v>
      </c>
      <c r="C32" s="396">
        <f>SUM(C31)</f>
        <v>950000</v>
      </c>
      <c r="D32" s="396">
        <f t="shared" ref="D32:E32" si="4">SUM(D31)</f>
        <v>950000</v>
      </c>
      <c r="E32" s="396">
        <f t="shared" si="4"/>
        <v>0</v>
      </c>
    </row>
    <row r="33" spans="1:5" ht="15.75" x14ac:dyDescent="0.25">
      <c r="A33" s="39"/>
      <c r="B33" s="236" t="s">
        <v>18</v>
      </c>
      <c r="C33" s="396">
        <f>+C29+C32</f>
        <v>1037880</v>
      </c>
      <c r="D33" s="396">
        <f t="shared" ref="D33:E33" si="5">+D29+D32</f>
        <v>997880</v>
      </c>
      <c r="E33" s="396">
        <f t="shared" si="5"/>
        <v>40000</v>
      </c>
    </row>
    <row r="34" spans="1:5" ht="15.75" x14ac:dyDescent="0.25">
      <c r="A34" s="39"/>
      <c r="B34" s="236" t="s">
        <v>37</v>
      </c>
      <c r="C34" s="33">
        <f>+C33+C22</f>
        <v>1631850</v>
      </c>
      <c r="D34" s="33">
        <f>+D33+D22</f>
        <v>1560468</v>
      </c>
      <c r="E34" s="33">
        <f>+C34-D34</f>
        <v>71382</v>
      </c>
    </row>
    <row r="35" spans="1:5" ht="15.75" x14ac:dyDescent="0.25">
      <c r="A35" s="39"/>
      <c r="B35" s="442" t="s">
        <v>35</v>
      </c>
      <c r="C35" s="64"/>
      <c r="D35" s="66">
        <f>D34/C34*100</f>
        <v>95.625700891626067</v>
      </c>
      <c r="E35" s="64" t="s">
        <v>34</v>
      </c>
    </row>
    <row r="36" spans="1:5" ht="15.75" x14ac:dyDescent="0.25">
      <c r="A36" s="453"/>
      <c r="B36" s="454"/>
      <c r="C36" s="455"/>
      <c r="D36" s="456"/>
      <c r="E36" s="455"/>
    </row>
    <row r="37" spans="1:5" ht="29.25" customHeight="1" x14ac:dyDescent="0.25">
      <c r="A37" s="647" t="s">
        <v>394</v>
      </c>
      <c r="B37" s="647"/>
      <c r="C37" s="647"/>
      <c r="D37" s="647"/>
      <c r="E37" s="647"/>
    </row>
    <row r="39" spans="1:5" x14ac:dyDescent="0.25">
      <c r="A39" t="s">
        <v>173</v>
      </c>
      <c r="C39" s="303"/>
      <c r="D39" s="149" t="s">
        <v>174</v>
      </c>
      <c r="E39" t="s">
        <v>175</v>
      </c>
    </row>
  </sheetData>
  <mergeCells count="9">
    <mergeCell ref="A37:E37"/>
    <mergeCell ref="A25:E25"/>
    <mergeCell ref="D1:E1"/>
    <mergeCell ref="A4:E4"/>
    <mergeCell ref="A5:E5"/>
    <mergeCell ref="A6:E6"/>
    <mergeCell ref="A7:E7"/>
    <mergeCell ref="A8:E8"/>
    <mergeCell ref="A9:C9"/>
  </mergeCells>
  <pageMargins left="0.7" right="0.7" top="0.75" bottom="0.75" header="0.3" footer="0.3"/>
  <pageSetup paperSize="9" scale="9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7"/>
  <sheetViews>
    <sheetView view="pageBreakPreview" zoomScale="60" zoomScaleNormal="100" workbookViewId="0">
      <selection activeCell="P20" sqref="P20"/>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631" t="s">
        <v>635</v>
      </c>
      <c r="E1" s="631"/>
    </row>
    <row r="2" spans="1:7" ht="15.75" x14ac:dyDescent="0.25">
      <c r="D2" t="s">
        <v>171</v>
      </c>
      <c r="E2" s="1"/>
    </row>
    <row r="3" spans="1:7" ht="17.25" x14ac:dyDescent="0.25">
      <c r="A3" s="42"/>
      <c r="B3" s="38"/>
      <c r="C3" s="15"/>
      <c r="D3" t="s">
        <v>586</v>
      </c>
      <c r="E3" s="1"/>
    </row>
    <row r="4" spans="1:7" ht="15.75" x14ac:dyDescent="0.25">
      <c r="A4" s="650" t="s">
        <v>122</v>
      </c>
      <c r="B4" s="650"/>
      <c r="C4" s="650"/>
      <c r="D4" s="650"/>
      <c r="E4" s="650"/>
    </row>
    <row r="5" spans="1:7" ht="15.75" x14ac:dyDescent="0.25">
      <c r="A5" s="650" t="s">
        <v>428</v>
      </c>
      <c r="B5" s="650"/>
      <c r="C5" s="650"/>
      <c r="D5" s="650"/>
      <c r="E5" s="650"/>
    </row>
    <row r="6" spans="1:7" ht="15.75" customHeight="1" x14ac:dyDescent="0.25">
      <c r="A6" s="773"/>
      <c r="B6" s="773"/>
      <c r="C6" s="773"/>
      <c r="D6" s="773"/>
      <c r="E6" s="773"/>
    </row>
    <row r="7" spans="1:7" ht="291.75" customHeight="1" x14ac:dyDescent="0.25">
      <c r="A7" s="647" t="s">
        <v>254</v>
      </c>
      <c r="B7" s="647"/>
      <c r="C7" s="647"/>
      <c r="D7" s="647"/>
      <c r="E7" s="647"/>
    </row>
    <row r="8" spans="1:7" ht="15.75" x14ac:dyDescent="0.25">
      <c r="A8" s="796" t="s">
        <v>283</v>
      </c>
      <c r="B8" s="796"/>
      <c r="C8" s="796"/>
      <c r="D8" s="589">
        <f>+C9+C10</f>
        <v>637618.80000000005</v>
      </c>
      <c r="E8" s="397" t="s">
        <v>32</v>
      </c>
      <c r="F8" s="47"/>
      <c r="G8" s="47"/>
    </row>
    <row r="9" spans="1:7" ht="15.75" x14ac:dyDescent="0.25">
      <c r="A9" s="452"/>
      <c r="B9" s="451" t="s">
        <v>28</v>
      </c>
      <c r="C9" s="443">
        <f>+D16</f>
        <v>538684.80000000005</v>
      </c>
      <c r="D9" s="397" t="s">
        <v>32</v>
      </c>
      <c r="E9" s="47"/>
      <c r="F9" s="47"/>
      <c r="G9" s="47"/>
    </row>
    <row r="10" spans="1:7" ht="15.75" x14ac:dyDescent="0.25">
      <c r="A10" s="452"/>
      <c r="B10" s="450" t="s">
        <v>29</v>
      </c>
      <c r="C10" s="389">
        <f>+D21</f>
        <v>98934</v>
      </c>
      <c r="D10" s="397" t="s">
        <v>32</v>
      </c>
      <c r="E10" s="47"/>
      <c r="F10" s="47"/>
      <c r="G10" s="47"/>
    </row>
    <row r="11" spans="1:7" ht="15.75" customHeight="1" x14ac:dyDescent="0.25">
      <c r="A11" s="191"/>
      <c r="B11" s="191"/>
      <c r="C11" s="191"/>
      <c r="D11" s="191"/>
      <c r="E11" s="191"/>
    </row>
    <row r="12" spans="1:7" ht="15.75" x14ac:dyDescent="0.25">
      <c r="A12" s="43" t="s">
        <v>22</v>
      </c>
      <c r="B12" s="10" t="s">
        <v>12</v>
      </c>
      <c r="C12" s="10" t="s">
        <v>1</v>
      </c>
      <c r="D12" s="10" t="s">
        <v>11</v>
      </c>
      <c r="E12" s="10" t="s">
        <v>5</v>
      </c>
    </row>
    <row r="13" spans="1:7" ht="24" customHeight="1" x14ac:dyDescent="0.25">
      <c r="A13" s="34">
        <v>118230</v>
      </c>
      <c r="B13" s="97" t="s">
        <v>255</v>
      </c>
      <c r="C13" s="35">
        <v>300000</v>
      </c>
      <c r="D13" s="36">
        <v>299760</v>
      </c>
      <c r="E13" s="37">
        <f>+C13-D13</f>
        <v>240</v>
      </c>
    </row>
    <row r="14" spans="1:7" ht="31.5" x14ac:dyDescent="0.25">
      <c r="A14" s="44"/>
      <c r="B14" s="97" t="s">
        <v>256</v>
      </c>
      <c r="C14" s="35">
        <v>249000</v>
      </c>
      <c r="D14" s="36">
        <v>238924.79999999999</v>
      </c>
      <c r="E14" s="37">
        <f t="shared" ref="E14" si="0">+C14-D14</f>
        <v>10075.200000000012</v>
      </c>
    </row>
    <row r="15" spans="1:7" ht="15.75" x14ac:dyDescent="0.25">
      <c r="A15" s="44"/>
      <c r="B15" s="97"/>
      <c r="C15" s="35"/>
      <c r="D15" s="36"/>
      <c r="E15" s="37"/>
    </row>
    <row r="16" spans="1:7" ht="15.75" x14ac:dyDescent="0.25">
      <c r="A16" s="44"/>
      <c r="B16" s="5" t="s">
        <v>27</v>
      </c>
      <c r="C16" s="48">
        <f>SUM(C13:C15)</f>
        <v>549000</v>
      </c>
      <c r="D16" s="48">
        <f>SUM(D13:D15)</f>
        <v>538684.80000000005</v>
      </c>
      <c r="E16" s="215">
        <f>C16-D16</f>
        <v>10315.199999999953</v>
      </c>
    </row>
    <row r="17" spans="1:5" ht="15.75" x14ac:dyDescent="0.25">
      <c r="A17" s="44"/>
      <c r="B17" s="144" t="s">
        <v>35</v>
      </c>
      <c r="C17" s="35"/>
      <c r="D17" s="137">
        <f>D16/C16*100</f>
        <v>98.121092896174872</v>
      </c>
      <c r="E17" s="145" t="s">
        <v>34</v>
      </c>
    </row>
    <row r="19" spans="1:5" ht="15.75" x14ac:dyDescent="0.25">
      <c r="A19" s="715" t="s">
        <v>17</v>
      </c>
      <c r="B19" s="715"/>
      <c r="C19" s="715"/>
      <c r="D19" s="715"/>
      <c r="E19" s="715"/>
    </row>
    <row r="20" spans="1:5" ht="63" x14ac:dyDescent="0.25">
      <c r="A20" s="34">
        <v>118230</v>
      </c>
      <c r="B20" s="3" t="s">
        <v>430</v>
      </c>
      <c r="C20" s="394">
        <v>774024</v>
      </c>
      <c r="D20" s="394">
        <v>98934</v>
      </c>
      <c r="E20" s="29">
        <f>C20-D20</f>
        <v>675090</v>
      </c>
    </row>
    <row r="21" spans="1:5" ht="15.75" x14ac:dyDescent="0.25">
      <c r="A21" s="39"/>
      <c r="B21" s="236" t="s">
        <v>18</v>
      </c>
      <c r="C21" s="396">
        <f>+C20</f>
        <v>774024</v>
      </c>
      <c r="D21" s="396">
        <f>+D20</f>
        <v>98934</v>
      </c>
      <c r="E21" s="33">
        <f>+C21-D21</f>
        <v>675090</v>
      </c>
    </row>
    <row r="22" spans="1:5" ht="15.75" x14ac:dyDescent="0.25">
      <c r="A22" s="39"/>
      <c r="B22" s="236" t="s">
        <v>37</v>
      </c>
      <c r="C22" s="33">
        <f>+C21+C16</f>
        <v>1323024</v>
      </c>
      <c r="D22" s="33">
        <f>+D21+D16</f>
        <v>637618.80000000005</v>
      </c>
      <c r="E22" s="33">
        <f>+C22-D22</f>
        <v>685405.2</v>
      </c>
    </row>
    <row r="23" spans="1:5" ht="15.75" x14ac:dyDescent="0.25">
      <c r="A23" s="39"/>
      <c r="B23" s="442" t="s">
        <v>35</v>
      </c>
      <c r="C23" s="64"/>
      <c r="D23" s="66">
        <f>D22/C22*100</f>
        <v>48.19404636650583</v>
      </c>
      <c r="E23" s="64" t="s">
        <v>34</v>
      </c>
    </row>
    <row r="24" spans="1:5" ht="15.75" x14ac:dyDescent="0.25">
      <c r="A24" s="453"/>
      <c r="B24" s="454"/>
      <c r="C24" s="455"/>
      <c r="D24" s="456"/>
      <c r="E24" s="455"/>
    </row>
    <row r="25" spans="1:5" ht="29.25" customHeight="1" x14ac:dyDescent="0.25">
      <c r="A25" s="647" t="s">
        <v>394</v>
      </c>
      <c r="B25" s="647"/>
      <c r="C25" s="647"/>
      <c r="D25" s="647"/>
      <c r="E25" s="647"/>
    </row>
    <row r="27" spans="1:5" x14ac:dyDescent="0.25">
      <c r="A27" t="s">
        <v>173</v>
      </c>
      <c r="C27" s="303"/>
      <c r="D27" s="149" t="s">
        <v>174</v>
      </c>
      <c r="E27" t="s">
        <v>175</v>
      </c>
    </row>
  </sheetData>
  <mergeCells count="8">
    <mergeCell ref="A8:C8"/>
    <mergeCell ref="A19:E19"/>
    <mergeCell ref="A25:E25"/>
    <mergeCell ref="D1:E1"/>
    <mergeCell ref="A4:E4"/>
    <mergeCell ref="A5:E5"/>
    <mergeCell ref="A6:E6"/>
    <mergeCell ref="A7:E7"/>
  </mergeCells>
  <pageMargins left="0.7" right="0.7" top="0.75" bottom="0.75" header="0.3" footer="0.3"/>
  <pageSetup paperSize="9" scale="96"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7"/>
  <sheetViews>
    <sheetView workbookViewId="0">
      <selection activeCell="J7" sqref="J7"/>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631" t="s">
        <v>636</v>
      </c>
      <c r="E1" s="631"/>
    </row>
    <row r="2" spans="1:7" ht="15.75" x14ac:dyDescent="0.25">
      <c r="D2" t="s">
        <v>171</v>
      </c>
      <c r="E2" s="1"/>
    </row>
    <row r="3" spans="1:7" ht="17.25" x14ac:dyDescent="0.25">
      <c r="A3" s="42"/>
      <c r="B3" s="38"/>
      <c r="C3" s="15"/>
      <c r="D3" t="s">
        <v>586</v>
      </c>
      <c r="E3" s="1"/>
    </row>
    <row r="4" spans="1:7" ht="15.75" x14ac:dyDescent="0.25">
      <c r="A4" s="650" t="s">
        <v>122</v>
      </c>
      <c r="B4" s="650"/>
      <c r="C4" s="650"/>
      <c r="D4" s="650"/>
      <c r="E4" s="650"/>
    </row>
    <row r="5" spans="1:7" ht="56.25" customHeight="1" x14ac:dyDescent="0.25">
      <c r="A5" s="626" t="s">
        <v>446</v>
      </c>
      <c r="B5" s="626"/>
      <c r="C5" s="626"/>
      <c r="D5" s="626"/>
      <c r="E5" s="626"/>
    </row>
    <row r="6" spans="1:7" ht="15.75" customHeight="1" x14ac:dyDescent="0.25">
      <c r="A6" s="773"/>
      <c r="B6" s="773"/>
      <c r="C6" s="773"/>
      <c r="D6" s="773"/>
      <c r="E6" s="773"/>
    </row>
    <row r="7" spans="1:7" ht="378" customHeight="1" x14ac:dyDescent="0.25">
      <c r="A7" s="819" t="s">
        <v>447</v>
      </c>
      <c r="B7" s="819"/>
      <c r="C7" s="819"/>
      <c r="D7" s="819"/>
      <c r="E7" s="819"/>
    </row>
    <row r="8" spans="1:7" ht="15.75" x14ac:dyDescent="0.25">
      <c r="A8" s="796" t="s">
        <v>283</v>
      </c>
      <c r="B8" s="796"/>
      <c r="C8" s="796"/>
      <c r="D8" s="589">
        <f>+C9+C10</f>
        <v>35000</v>
      </c>
      <c r="E8" s="397" t="s">
        <v>32</v>
      </c>
      <c r="F8" s="47"/>
      <c r="G8" s="47"/>
    </row>
    <row r="9" spans="1:7" ht="15.75" x14ac:dyDescent="0.25">
      <c r="A9" s="536"/>
      <c r="B9" s="534" t="s">
        <v>28</v>
      </c>
      <c r="C9" s="443">
        <f>+D16</f>
        <v>35000</v>
      </c>
      <c r="D9" s="397" t="s">
        <v>32</v>
      </c>
      <c r="E9" s="47"/>
      <c r="F9" s="47"/>
      <c r="G9" s="47"/>
    </row>
    <row r="10" spans="1:7" ht="15.75" hidden="1" x14ac:dyDescent="0.25">
      <c r="A10" s="536"/>
      <c r="B10" s="530" t="s">
        <v>29</v>
      </c>
      <c r="C10" s="389">
        <f>+D21</f>
        <v>0</v>
      </c>
      <c r="D10" s="397" t="s">
        <v>32</v>
      </c>
      <c r="E10" s="47"/>
      <c r="F10" s="47"/>
      <c r="G10" s="47"/>
    </row>
    <row r="11" spans="1:7" ht="15.75" customHeight="1" x14ac:dyDescent="0.25">
      <c r="A11" s="191"/>
      <c r="B11" s="191"/>
      <c r="C11" s="191"/>
      <c r="D11" s="191"/>
      <c r="E11" s="191"/>
    </row>
    <row r="12" spans="1:7" ht="15.75" x14ac:dyDescent="0.25">
      <c r="A12" s="43" t="s">
        <v>22</v>
      </c>
      <c r="B12" s="10" t="s">
        <v>12</v>
      </c>
      <c r="C12" s="10" t="s">
        <v>1</v>
      </c>
      <c r="D12" s="10" t="s">
        <v>11</v>
      </c>
      <c r="E12" s="10" t="s">
        <v>5</v>
      </c>
    </row>
    <row r="13" spans="1:7" ht="35.25" customHeight="1" x14ac:dyDescent="0.25">
      <c r="A13" s="597">
        <v>3719800</v>
      </c>
      <c r="B13" s="602" t="s">
        <v>448</v>
      </c>
      <c r="C13" s="35">
        <v>35000</v>
      </c>
      <c r="D13" s="36">
        <v>35000</v>
      </c>
      <c r="E13" s="37">
        <f>+C13-D13</f>
        <v>0</v>
      </c>
    </row>
    <row r="14" spans="1:7" ht="15.75" hidden="1" x14ac:dyDescent="0.25">
      <c r="A14" s="44"/>
      <c r="B14" s="97"/>
      <c r="C14" s="35"/>
      <c r="D14" s="36"/>
      <c r="E14" s="37">
        <f t="shared" ref="E14" si="0">+C14-D14</f>
        <v>0</v>
      </c>
    </row>
    <row r="15" spans="1:7" ht="15.75" hidden="1" x14ac:dyDescent="0.25">
      <c r="A15" s="44"/>
      <c r="B15" s="97"/>
      <c r="C15" s="35"/>
      <c r="D15" s="36"/>
      <c r="E15" s="37"/>
    </row>
    <row r="16" spans="1:7" ht="15.75" x14ac:dyDescent="0.25">
      <c r="A16" s="44"/>
      <c r="B16" s="5" t="s">
        <v>27</v>
      </c>
      <c r="C16" s="48">
        <f>SUM(C13:C15)</f>
        <v>35000</v>
      </c>
      <c r="D16" s="48">
        <f>SUM(D13:D15)</f>
        <v>35000</v>
      </c>
      <c r="E16" s="215">
        <f>C16-D16</f>
        <v>0</v>
      </c>
    </row>
    <row r="17" spans="1:5" ht="15.75" x14ac:dyDescent="0.25">
      <c r="A17" s="44"/>
      <c r="B17" s="144" t="s">
        <v>35</v>
      </c>
      <c r="C17" s="35"/>
      <c r="D17" s="137">
        <f>D16/C16*100</f>
        <v>100</v>
      </c>
      <c r="E17" s="145" t="s">
        <v>34</v>
      </c>
    </row>
    <row r="19" spans="1:5" ht="15.75" hidden="1" x14ac:dyDescent="0.25">
      <c r="A19" s="715" t="s">
        <v>17</v>
      </c>
      <c r="B19" s="715"/>
      <c r="C19" s="715"/>
      <c r="D19" s="715"/>
      <c r="E19" s="715"/>
    </row>
    <row r="20" spans="1:5" ht="15.75" hidden="1" x14ac:dyDescent="0.25">
      <c r="A20" s="531"/>
      <c r="B20" s="3"/>
      <c r="C20" s="394"/>
      <c r="D20" s="394"/>
      <c r="E20" s="29">
        <f>C20-D20</f>
        <v>0</v>
      </c>
    </row>
    <row r="21" spans="1:5" ht="15.75" hidden="1" x14ac:dyDescent="0.25">
      <c r="A21" s="39"/>
      <c r="B21" s="236" t="s">
        <v>18</v>
      </c>
      <c r="C21" s="396">
        <f>+C20</f>
        <v>0</v>
      </c>
      <c r="D21" s="396">
        <f>+D20</f>
        <v>0</v>
      </c>
      <c r="E21" s="33">
        <f>+C21-D21</f>
        <v>0</v>
      </c>
    </row>
    <row r="22" spans="1:5" ht="15.75" hidden="1" x14ac:dyDescent="0.25">
      <c r="A22" s="39"/>
      <c r="B22" s="236" t="s">
        <v>37</v>
      </c>
      <c r="C22" s="33">
        <f>+C21+C16</f>
        <v>35000</v>
      </c>
      <c r="D22" s="33">
        <f>+D21+D16</f>
        <v>35000</v>
      </c>
      <c r="E22" s="33">
        <f>+C22-D22</f>
        <v>0</v>
      </c>
    </row>
    <row r="23" spans="1:5" ht="15.75" hidden="1" x14ac:dyDescent="0.25">
      <c r="A23" s="39"/>
      <c r="B23" s="442" t="s">
        <v>35</v>
      </c>
      <c r="C23" s="64"/>
      <c r="D23" s="66">
        <f>D22/C22*100</f>
        <v>100</v>
      </c>
      <c r="E23" s="64" t="s">
        <v>34</v>
      </c>
    </row>
    <row r="24" spans="1:5" ht="15.75" x14ac:dyDescent="0.25">
      <c r="A24" s="453"/>
      <c r="B24" s="454"/>
      <c r="C24" s="455"/>
      <c r="D24" s="456"/>
      <c r="E24" s="455"/>
    </row>
    <row r="25" spans="1:5" ht="29.25" customHeight="1" x14ac:dyDescent="0.25">
      <c r="A25" s="647" t="s">
        <v>394</v>
      </c>
      <c r="B25" s="647"/>
      <c r="C25" s="647"/>
      <c r="D25" s="647"/>
      <c r="E25" s="647"/>
    </row>
    <row r="27" spans="1:5" x14ac:dyDescent="0.25">
      <c r="A27" t="s">
        <v>173</v>
      </c>
      <c r="C27" s="303"/>
      <c r="D27" s="149" t="s">
        <v>174</v>
      </c>
      <c r="E27" t="s">
        <v>175</v>
      </c>
    </row>
  </sheetData>
  <mergeCells count="8">
    <mergeCell ref="A19:E19"/>
    <mergeCell ref="A25:E25"/>
    <mergeCell ref="D1:E1"/>
    <mergeCell ref="A4:E4"/>
    <mergeCell ref="A5:E5"/>
    <mergeCell ref="A6:E6"/>
    <mergeCell ref="A7:E7"/>
    <mergeCell ref="A8:C8"/>
  </mergeCells>
  <pageMargins left="0.70866141732283472" right="0.70866141732283472" top="0.74803149606299213" bottom="0.74803149606299213" header="0.31496062992125984" footer="0.31496062992125984"/>
  <pageSetup paperSize="9" scale="9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7"/>
  <sheetViews>
    <sheetView view="pageBreakPreview" zoomScale="60" zoomScaleNormal="100" workbookViewId="0">
      <selection activeCell="J7" sqref="J7"/>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631" t="s">
        <v>637</v>
      </c>
      <c r="E1" s="631"/>
    </row>
    <row r="2" spans="1:7" ht="15.75" x14ac:dyDescent="0.25">
      <c r="D2" t="s">
        <v>171</v>
      </c>
      <c r="E2" s="1"/>
    </row>
    <row r="3" spans="1:7" ht="17.25" x14ac:dyDescent="0.25">
      <c r="A3" s="42"/>
      <c r="B3" s="38"/>
      <c r="C3" s="15"/>
      <c r="D3" t="s">
        <v>586</v>
      </c>
      <c r="E3" s="1"/>
    </row>
    <row r="4" spans="1:7" ht="15.75" x14ac:dyDescent="0.25">
      <c r="A4" s="650" t="s">
        <v>122</v>
      </c>
      <c r="B4" s="650"/>
      <c r="C4" s="650"/>
      <c r="D4" s="650"/>
      <c r="E4" s="650"/>
    </row>
    <row r="5" spans="1:7" ht="37.5" customHeight="1" x14ac:dyDescent="0.25">
      <c r="A5" s="626" t="s">
        <v>442</v>
      </c>
      <c r="B5" s="626"/>
      <c r="C5" s="626"/>
      <c r="D5" s="626"/>
      <c r="E5" s="626"/>
    </row>
    <row r="6" spans="1:7" ht="15.75" customHeight="1" x14ac:dyDescent="0.25">
      <c r="A6" s="773"/>
      <c r="B6" s="773"/>
      <c r="C6" s="773"/>
      <c r="D6" s="773"/>
      <c r="E6" s="773"/>
    </row>
    <row r="7" spans="1:7" ht="409.5" customHeight="1" x14ac:dyDescent="0.25">
      <c r="A7" s="815" t="s">
        <v>443</v>
      </c>
      <c r="B7" s="815"/>
      <c r="C7" s="815"/>
      <c r="D7" s="815"/>
      <c r="E7" s="815"/>
    </row>
    <row r="8" spans="1:7" ht="15.75" x14ac:dyDescent="0.25">
      <c r="A8" s="796" t="s">
        <v>283</v>
      </c>
      <c r="B8" s="796"/>
      <c r="C8" s="796"/>
      <c r="D8" s="589">
        <f>+C9+C10</f>
        <v>0</v>
      </c>
      <c r="E8" s="397" t="s">
        <v>32</v>
      </c>
      <c r="F8" s="47"/>
      <c r="G8" s="47"/>
    </row>
    <row r="9" spans="1:7" ht="15.75" x14ac:dyDescent="0.25">
      <c r="A9" s="536"/>
      <c r="B9" s="534" t="s">
        <v>28</v>
      </c>
      <c r="C9" s="443">
        <f>+D16</f>
        <v>0</v>
      </c>
      <c r="D9" s="397" t="s">
        <v>32</v>
      </c>
      <c r="E9" s="47"/>
      <c r="F9" s="47"/>
      <c r="G9" s="47"/>
    </row>
    <row r="10" spans="1:7" ht="15.75" x14ac:dyDescent="0.25">
      <c r="A10" s="536"/>
      <c r="B10" s="530" t="s">
        <v>29</v>
      </c>
      <c r="C10" s="389">
        <f>+D21</f>
        <v>0</v>
      </c>
      <c r="D10" s="397" t="s">
        <v>32</v>
      </c>
      <c r="E10" s="47"/>
      <c r="F10" s="47"/>
      <c r="G10" s="47"/>
    </row>
    <row r="11" spans="1:7" ht="15.75" customHeight="1" x14ac:dyDescent="0.25">
      <c r="A11" s="191"/>
      <c r="B11" s="191"/>
      <c r="C11" s="191"/>
      <c r="D11" s="191"/>
      <c r="E11" s="191"/>
    </row>
    <row r="12" spans="1:7" ht="15.75" x14ac:dyDescent="0.25">
      <c r="A12" s="43" t="s">
        <v>22</v>
      </c>
      <c r="B12" s="10" t="s">
        <v>12</v>
      </c>
      <c r="C12" s="10" t="s">
        <v>1</v>
      </c>
      <c r="D12" s="10" t="s">
        <v>11</v>
      </c>
      <c r="E12" s="10" t="s">
        <v>5</v>
      </c>
    </row>
    <row r="13" spans="1:7" ht="43.5" customHeight="1" x14ac:dyDescent="0.25">
      <c r="A13" s="531">
        <v>116030</v>
      </c>
      <c r="B13" s="97" t="s">
        <v>444</v>
      </c>
      <c r="C13" s="35">
        <v>180000</v>
      </c>
      <c r="D13" s="36">
        <v>0</v>
      </c>
      <c r="E13" s="37">
        <f>+C13-D13</f>
        <v>180000</v>
      </c>
    </row>
    <row r="14" spans="1:7" ht="31.5" x14ac:dyDescent="0.25">
      <c r="A14" s="44"/>
      <c r="B14" s="97" t="s">
        <v>445</v>
      </c>
      <c r="C14" s="35">
        <v>150000</v>
      </c>
      <c r="D14" s="36">
        <v>0</v>
      </c>
      <c r="E14" s="37">
        <f t="shared" ref="E14" si="0">+C14-D14</f>
        <v>150000</v>
      </c>
    </row>
    <row r="15" spans="1:7" ht="15.75" x14ac:dyDescent="0.25">
      <c r="A15" s="44"/>
      <c r="B15" s="97"/>
      <c r="C15" s="35"/>
      <c r="D15" s="36"/>
      <c r="E15" s="37"/>
    </row>
    <row r="16" spans="1:7" ht="15.75" x14ac:dyDescent="0.25">
      <c r="A16" s="44"/>
      <c r="B16" s="5" t="s">
        <v>27</v>
      </c>
      <c r="C16" s="48">
        <f>SUM(C13:C15)</f>
        <v>330000</v>
      </c>
      <c r="D16" s="48">
        <f>SUM(D13:D15)</f>
        <v>0</v>
      </c>
      <c r="E16" s="215">
        <f>C16-D16</f>
        <v>330000</v>
      </c>
    </row>
    <row r="17" spans="1:5" ht="15.75" x14ac:dyDescent="0.25">
      <c r="A17" s="44"/>
      <c r="B17" s="144" t="s">
        <v>35</v>
      </c>
      <c r="C17" s="35"/>
      <c r="D17" s="137">
        <f>D16/C16*100</f>
        <v>0</v>
      </c>
      <c r="E17" s="145" t="s">
        <v>34</v>
      </c>
    </row>
    <row r="19" spans="1:5" ht="15.75" hidden="1" x14ac:dyDescent="0.25">
      <c r="A19" s="715" t="s">
        <v>17</v>
      </c>
      <c r="B19" s="715"/>
      <c r="C19" s="715"/>
      <c r="D19" s="715"/>
      <c r="E19" s="715"/>
    </row>
    <row r="20" spans="1:5" ht="63" hidden="1" x14ac:dyDescent="0.25">
      <c r="A20" s="531">
        <v>118230</v>
      </c>
      <c r="B20" s="3" t="s">
        <v>430</v>
      </c>
      <c r="C20" s="394"/>
      <c r="D20" s="394"/>
      <c r="E20" s="29">
        <f>C20-D20</f>
        <v>0</v>
      </c>
    </row>
    <row r="21" spans="1:5" ht="15.75" hidden="1" x14ac:dyDescent="0.25">
      <c r="A21" s="39"/>
      <c r="B21" s="236" t="s">
        <v>18</v>
      </c>
      <c r="C21" s="396">
        <f>+C20</f>
        <v>0</v>
      </c>
      <c r="D21" s="396">
        <f>+D20</f>
        <v>0</v>
      </c>
      <c r="E21" s="33">
        <f>+C21-D21</f>
        <v>0</v>
      </c>
    </row>
    <row r="22" spans="1:5" ht="15.75" hidden="1" x14ac:dyDescent="0.25">
      <c r="A22" s="39"/>
      <c r="B22" s="236" t="s">
        <v>37</v>
      </c>
      <c r="C22" s="33">
        <f>+C21+C16</f>
        <v>330000</v>
      </c>
      <c r="D22" s="33">
        <f>+D21+D16</f>
        <v>0</v>
      </c>
      <c r="E22" s="33">
        <f>+C22-D22</f>
        <v>330000</v>
      </c>
    </row>
    <row r="23" spans="1:5" ht="15.75" hidden="1" x14ac:dyDescent="0.25">
      <c r="A23" s="39"/>
      <c r="B23" s="442" t="s">
        <v>35</v>
      </c>
      <c r="C23" s="64"/>
      <c r="D23" s="66">
        <f>D22/C22*100</f>
        <v>0</v>
      </c>
      <c r="E23" s="64" t="s">
        <v>34</v>
      </c>
    </row>
    <row r="24" spans="1:5" ht="15.75" x14ac:dyDescent="0.25">
      <c r="A24" s="453"/>
      <c r="B24" s="454"/>
      <c r="C24" s="455"/>
      <c r="D24" s="456"/>
      <c r="E24" s="455"/>
    </row>
    <row r="25" spans="1:5" ht="29.25" customHeight="1" x14ac:dyDescent="0.25">
      <c r="A25" s="647"/>
      <c r="B25" s="647"/>
      <c r="C25" s="647"/>
      <c r="D25" s="647"/>
      <c r="E25" s="647"/>
    </row>
    <row r="27" spans="1:5" x14ac:dyDescent="0.25">
      <c r="A27" t="s">
        <v>173</v>
      </c>
      <c r="C27" s="303"/>
      <c r="D27" s="149" t="s">
        <v>174</v>
      </c>
      <c r="E27" t="s">
        <v>175</v>
      </c>
    </row>
  </sheetData>
  <mergeCells count="8">
    <mergeCell ref="A19:E19"/>
    <mergeCell ref="A25:E25"/>
    <mergeCell ref="D1:E1"/>
    <mergeCell ref="A4:E4"/>
    <mergeCell ref="A5:E5"/>
    <mergeCell ref="A6:E6"/>
    <mergeCell ref="A7:E7"/>
    <mergeCell ref="A8:C8"/>
  </mergeCells>
  <pageMargins left="0.7" right="0.7" top="0.75" bottom="0.75" header="0.3" footer="0.3"/>
  <pageSetup paperSize="9" scale="92"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7"/>
  <sheetViews>
    <sheetView tabSelected="1" view="pageBreakPreview" topLeftCell="B1" zoomScale="60" zoomScaleNormal="100" workbookViewId="0">
      <selection activeCell="AD14" sqref="AD14"/>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631" t="s">
        <v>638</v>
      </c>
      <c r="E1" s="631"/>
    </row>
    <row r="2" spans="1:7" ht="15.75" x14ac:dyDescent="0.25">
      <c r="D2" t="s">
        <v>171</v>
      </c>
      <c r="E2" s="1"/>
    </row>
    <row r="3" spans="1:7" ht="17.25" x14ac:dyDescent="0.25">
      <c r="A3" s="42"/>
      <c r="B3" s="38"/>
      <c r="C3" s="15"/>
      <c r="D3" t="s">
        <v>597</v>
      </c>
      <c r="E3" s="1"/>
    </row>
    <row r="4" spans="1:7" ht="15.75" x14ac:dyDescent="0.25">
      <c r="A4" s="650" t="s">
        <v>122</v>
      </c>
      <c r="B4" s="650"/>
      <c r="C4" s="650"/>
      <c r="D4" s="650"/>
      <c r="E4" s="650"/>
    </row>
    <row r="5" spans="1:7" ht="49.5" customHeight="1" x14ac:dyDescent="0.25">
      <c r="A5" s="626" t="s">
        <v>459</v>
      </c>
      <c r="B5" s="626"/>
      <c r="C5" s="626"/>
      <c r="D5" s="626"/>
      <c r="E5" s="626"/>
    </row>
    <row r="6" spans="1:7" ht="15.75" customHeight="1" x14ac:dyDescent="0.25">
      <c r="A6" s="773"/>
      <c r="B6" s="773"/>
      <c r="C6" s="773"/>
      <c r="D6" s="773"/>
      <c r="E6" s="773"/>
    </row>
    <row r="7" spans="1:7" ht="390.75" customHeight="1" x14ac:dyDescent="0.25">
      <c r="A7" s="820" t="s">
        <v>460</v>
      </c>
      <c r="B7" s="820"/>
      <c r="C7" s="820"/>
      <c r="D7" s="820"/>
      <c r="E7" s="820"/>
    </row>
    <row r="8" spans="1:7" ht="15.75" x14ac:dyDescent="0.25">
      <c r="A8" s="796" t="s">
        <v>283</v>
      </c>
      <c r="B8" s="796"/>
      <c r="C8" s="796"/>
      <c r="D8" s="589">
        <f>+C9+C10</f>
        <v>28308</v>
      </c>
      <c r="E8" s="397" t="s">
        <v>32</v>
      </c>
      <c r="F8" s="47"/>
      <c r="G8" s="47"/>
    </row>
    <row r="9" spans="1:7" ht="15.75" x14ac:dyDescent="0.25">
      <c r="A9" s="536"/>
      <c r="B9" s="534" t="s">
        <v>28</v>
      </c>
      <c r="C9" s="443">
        <f>+D16</f>
        <v>28308</v>
      </c>
      <c r="D9" s="397" t="s">
        <v>32</v>
      </c>
      <c r="E9" s="47"/>
      <c r="F9" s="47"/>
      <c r="G9" s="47"/>
    </row>
    <row r="10" spans="1:7" ht="15.75" x14ac:dyDescent="0.25">
      <c r="A10" s="536"/>
      <c r="B10" s="530" t="s">
        <v>29</v>
      </c>
      <c r="C10" s="389">
        <f>+D21</f>
        <v>0</v>
      </c>
      <c r="D10" s="397" t="s">
        <v>32</v>
      </c>
      <c r="E10" s="47"/>
      <c r="F10" s="47"/>
      <c r="G10" s="47"/>
    </row>
    <row r="11" spans="1:7" ht="15.75" customHeight="1" x14ac:dyDescent="0.25">
      <c r="A11" s="191"/>
      <c r="B11" s="191"/>
      <c r="C11" s="191"/>
      <c r="D11" s="191"/>
      <c r="E11" s="191"/>
    </row>
    <row r="12" spans="1:7" ht="15.75" x14ac:dyDescent="0.25">
      <c r="A12" s="43" t="s">
        <v>22</v>
      </c>
      <c r="B12" s="10" t="s">
        <v>12</v>
      </c>
      <c r="C12" s="10" t="s">
        <v>1</v>
      </c>
      <c r="D12" s="10" t="s">
        <v>11</v>
      </c>
      <c r="E12" s="10" t="s">
        <v>5</v>
      </c>
    </row>
    <row r="13" spans="1:7" ht="84.75" customHeight="1" x14ac:dyDescent="0.25">
      <c r="A13" s="531">
        <v>116030</v>
      </c>
      <c r="B13" s="97" t="s">
        <v>457</v>
      </c>
      <c r="C13" s="35">
        <v>11308</v>
      </c>
      <c r="D13" s="36">
        <v>11308</v>
      </c>
      <c r="E13" s="37">
        <f>+C13-D13</f>
        <v>0</v>
      </c>
    </row>
    <row r="14" spans="1:7" ht="68.25" customHeight="1" x14ac:dyDescent="0.25">
      <c r="A14" s="44"/>
      <c r="B14" s="97" t="s">
        <v>458</v>
      </c>
      <c r="C14" s="35">
        <v>17000</v>
      </c>
      <c r="D14" s="36">
        <v>17000</v>
      </c>
      <c r="E14" s="37">
        <f t="shared" ref="E14" si="0">+C14-D14</f>
        <v>0</v>
      </c>
    </row>
    <row r="15" spans="1:7" ht="15.75" x14ac:dyDescent="0.25">
      <c r="A15" s="44"/>
      <c r="B15" s="97"/>
      <c r="C15" s="35"/>
      <c r="D15" s="36"/>
      <c r="E15" s="37"/>
    </row>
    <row r="16" spans="1:7" ht="15.75" x14ac:dyDescent="0.25">
      <c r="A16" s="44"/>
      <c r="B16" s="5" t="s">
        <v>27</v>
      </c>
      <c r="C16" s="48">
        <f>SUM(C13:C15)</f>
        <v>28308</v>
      </c>
      <c r="D16" s="48">
        <f>SUM(D13:D15)</f>
        <v>28308</v>
      </c>
      <c r="E16" s="215">
        <f>C16-D16</f>
        <v>0</v>
      </c>
    </row>
    <row r="17" spans="1:5" ht="15.75" x14ac:dyDescent="0.25">
      <c r="A17" s="44"/>
      <c r="B17" s="144" t="s">
        <v>35</v>
      </c>
      <c r="C17" s="35"/>
      <c r="D17" s="137">
        <f>D16/C16*100</f>
        <v>100</v>
      </c>
      <c r="E17" s="145" t="s">
        <v>34</v>
      </c>
    </row>
    <row r="19" spans="1:5" ht="15.75" hidden="1" x14ac:dyDescent="0.25">
      <c r="A19" s="715" t="s">
        <v>17</v>
      </c>
      <c r="B19" s="715"/>
      <c r="C19" s="715"/>
      <c r="D19" s="715"/>
      <c r="E19" s="715"/>
    </row>
    <row r="20" spans="1:5" ht="63" hidden="1" x14ac:dyDescent="0.25">
      <c r="A20" s="531">
        <v>118230</v>
      </c>
      <c r="B20" s="3" t="s">
        <v>430</v>
      </c>
      <c r="C20" s="394"/>
      <c r="D20" s="394"/>
      <c r="E20" s="29">
        <f>C20-D20</f>
        <v>0</v>
      </c>
    </row>
    <row r="21" spans="1:5" ht="15.75" hidden="1" x14ac:dyDescent="0.25">
      <c r="A21" s="39"/>
      <c r="B21" s="236" t="s">
        <v>18</v>
      </c>
      <c r="C21" s="396">
        <f>+C20</f>
        <v>0</v>
      </c>
      <c r="D21" s="396">
        <f>+D20</f>
        <v>0</v>
      </c>
      <c r="E21" s="33">
        <f>+C21-D21</f>
        <v>0</v>
      </c>
    </row>
    <row r="22" spans="1:5" ht="15.75" hidden="1" x14ac:dyDescent="0.25">
      <c r="A22" s="39"/>
      <c r="B22" s="236" t="s">
        <v>37</v>
      </c>
      <c r="C22" s="33">
        <f>+C21+C16</f>
        <v>28308</v>
      </c>
      <c r="D22" s="33">
        <f>+D21+D16</f>
        <v>28308</v>
      </c>
      <c r="E22" s="33">
        <f>+C22-D22</f>
        <v>0</v>
      </c>
    </row>
    <row r="23" spans="1:5" ht="15.75" hidden="1" x14ac:dyDescent="0.25">
      <c r="A23" s="39"/>
      <c r="B23" s="442" t="s">
        <v>35</v>
      </c>
      <c r="C23" s="64"/>
      <c r="D23" s="66">
        <f>D22/C22*100</f>
        <v>100</v>
      </c>
      <c r="E23" s="64" t="s">
        <v>34</v>
      </c>
    </row>
    <row r="24" spans="1:5" ht="15.75" x14ac:dyDescent="0.25">
      <c r="A24" s="453"/>
      <c r="B24" s="454"/>
      <c r="C24" s="455"/>
      <c r="D24" s="456"/>
      <c r="E24" s="455"/>
    </row>
    <row r="25" spans="1:5" ht="29.25" customHeight="1" x14ac:dyDescent="0.25">
      <c r="A25" s="647" t="s">
        <v>394</v>
      </c>
      <c r="B25" s="647"/>
      <c r="C25" s="647"/>
      <c r="D25" s="647"/>
      <c r="E25" s="647"/>
    </row>
    <row r="27" spans="1:5" x14ac:dyDescent="0.25">
      <c r="A27" t="s">
        <v>173</v>
      </c>
      <c r="C27" s="303"/>
      <c r="D27" s="149" t="s">
        <v>174</v>
      </c>
      <c r="E27" t="s">
        <v>175</v>
      </c>
    </row>
  </sheetData>
  <mergeCells count="8">
    <mergeCell ref="A19:E19"/>
    <mergeCell ref="A25:E25"/>
    <mergeCell ref="D1:E1"/>
    <mergeCell ref="A4:E4"/>
    <mergeCell ref="A5:E5"/>
    <mergeCell ref="A6:E6"/>
    <mergeCell ref="A7:E7"/>
    <mergeCell ref="A8:C8"/>
  </mergeCells>
  <pageMargins left="0.70866141732283472" right="0.70866141732283472" top="0.74803149606299213" bottom="0.74803149606299213" header="0.31496062992125984" footer="0.31496062992125984"/>
  <pageSetup paperSize="9" scale="85"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45</vt:i4>
      </vt:variant>
    </vt:vector>
  </HeadingPairs>
  <TitlesOfParts>
    <vt:vector size="45" baseType="lpstr">
      <vt:lpstr>турбота.1</vt:lpstr>
      <vt:lpstr>ДФТГ</vt:lpstr>
      <vt:lpstr>відшкод.пільг3</vt:lpstr>
      <vt:lpstr>соц.зах. ф.осіб</vt:lpstr>
      <vt:lpstr>Захисника та захисниці</vt:lpstr>
      <vt:lpstr>забез.дітей.8</vt:lpstr>
      <vt:lpstr>інвалідність4</vt:lpstr>
      <vt:lpstr>соц.захист5</vt:lpstr>
      <vt:lpstr>харчування6</vt:lpstr>
      <vt:lpstr>освіта7</vt:lpstr>
      <vt:lpstr>КЗ Беригиня</vt:lpstr>
      <vt:lpstr>культура9</vt:lpstr>
      <vt:lpstr>свята10</vt:lpstr>
      <vt:lpstr>спорт11</vt:lpstr>
      <vt:lpstr>Під Спортсменів</vt:lpstr>
      <vt:lpstr>молодь12</vt:lpstr>
      <vt:lpstr>ЦПМСД13</vt:lpstr>
      <vt:lpstr>КДЦ14</vt:lpstr>
      <vt:lpstr>мед.забез.пільг15</vt:lpstr>
      <vt:lpstr>підгот.зем.діл.16</vt:lpstr>
      <vt:lpstr>охор.пр.17</vt:lpstr>
      <vt:lpstr>зем.відн.18</vt:lpstr>
      <vt:lpstr>КП ПККП.19</vt:lpstr>
      <vt:lpstr>КП благоустрій20</vt:lpstr>
      <vt:lpstr>КП рекульт.21</vt:lpstr>
      <vt:lpstr>кап.буд.22</vt:lpstr>
      <vt:lpstr>підтри. ЗСУ25</vt:lpstr>
      <vt:lpstr>10--дер пож.рят. заг</vt:lpstr>
      <vt:lpstr>Підтри. ДКСУ</vt:lpstr>
      <vt:lpstr>МАСЦО26</vt:lpstr>
      <vt:lpstr>мат.резерв27</vt:lpstr>
      <vt:lpstr>роб. обсте. обє. пошк</vt:lpstr>
      <vt:lpstr>інформ28</vt:lpstr>
      <vt:lpstr>Енергозбе</vt:lpstr>
      <vt:lpstr>шкл. мистец</vt:lpstr>
      <vt:lpstr>благоустрій23</vt:lpstr>
      <vt:lpstr>містобудівна30</vt:lpstr>
      <vt:lpstr>сироти32</vt:lpstr>
      <vt:lpstr>Пол. офі. гром</vt:lpstr>
      <vt:lpstr>Бзе. Пет. грм.</vt:lpstr>
      <vt:lpstr>Заб. охорони пуб. порядку</vt:lpstr>
      <vt:lpstr>Зах. безпри. тварин</vt:lpstr>
      <vt:lpstr>сплата членських внесків</vt: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cp:lastModifiedBy>
  <cp:lastPrinted>2025-02-25T14:52:12Z</cp:lastPrinted>
  <dcterms:created xsi:type="dcterms:W3CDTF">2023-01-05T08:10:41Z</dcterms:created>
  <dcterms:modified xsi:type="dcterms:W3CDTF">2025-02-25T14:55:19Z</dcterms:modified>
</cp:coreProperties>
</file>